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uchova\Documents\požadavky na vložení na web\Dokumenty k vložení na web\NZÚ\"/>
    </mc:Choice>
  </mc:AlternateContent>
  <xr:revisionPtr revIDLastSave="0" documentId="13_ncr:1_{D37553CB-E0F9-4F06-A459-24208E50D9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ání" sheetId="1" r:id="rId1"/>
    <sheet name="Výpočtová část" sheetId="7" r:id="rId2"/>
    <sheet name="G" sheetId="12" state="hidden" r:id="rId3"/>
    <sheet name="H" sheetId="13" state="hidden" r:id="rId4"/>
    <sheet name="data" sheetId="10" state="hidden" r:id="rId5"/>
  </sheets>
  <definedNames>
    <definedName name="_p">Zadání!$D$20</definedName>
    <definedName name="_v">Zadání!$D$30</definedName>
    <definedName name="a_1">Zadání!$D$36</definedName>
    <definedName name="a_1_2">Zadání!$G$36</definedName>
    <definedName name="a_2">Zadání!$D$37</definedName>
    <definedName name="a_2_2">Zadání!$G$37</definedName>
    <definedName name="A_b">Zadání!#REF!</definedName>
    <definedName name="beta_n">#REF!</definedName>
    <definedName name="beta_p">#REF!</definedName>
    <definedName name="celk_vtazna_pl_2">Zadání!$G$40</definedName>
    <definedName name="Celková_vztažná_plocha">Zadání!$D$40</definedName>
    <definedName name="eps">Zadání!$E$29</definedName>
    <definedName name="f_rel_e">#REF!</definedName>
    <definedName name="f_rel_i">#REF!</definedName>
    <definedName name="h_e">#REF!</definedName>
    <definedName name="h_i">#REF!</definedName>
    <definedName name="I_w">#REF!</definedName>
    <definedName name="k_navst">Zadání!#REF!</definedName>
    <definedName name="kb_e">#REF!</definedName>
    <definedName name="kb_i">#REF!</definedName>
    <definedName name="ný_0">Zadání!$D$35</definedName>
    <definedName name="ný_02">Zadání!$G$35</definedName>
    <definedName name="Objem_AKU">Zadání!$D$22</definedName>
    <definedName name="_xlnm.Print_Area" localSheetId="0">Zadání!$A$1:$H$61</definedName>
    <definedName name="osoby">Zadání!$D$12</definedName>
    <definedName name="Plocha_apertury">Zadání!$D$41</definedName>
    <definedName name="Plocha_apertury_2">Zadání!$G$41</definedName>
    <definedName name="počet_kolektorů">Zadání!$D$38</definedName>
    <definedName name="počet_kolektorů_2">Zadání!$G$38</definedName>
    <definedName name="Q_p.c">'Výpočtová část'!$V$18</definedName>
    <definedName name="Q_p.TV">'Výpočtová část'!$T$18</definedName>
    <definedName name="Q_p.vyt">'Výpočtová část'!$U$18</definedName>
    <definedName name="Q_z">Zadání!$D$26</definedName>
    <definedName name="T_e">Zadání!$D$28</definedName>
    <definedName name="T_i">Zadání!$D$27</definedName>
    <definedName name="t_km" comment="t_km1">Zadání!$D$42</definedName>
    <definedName name="t_km_2">Zadání!$G$42</definedName>
    <definedName name="t_sv">Zadání!$D$17</definedName>
    <definedName name="t_tv">Zadání!$D$18</definedName>
    <definedName name="t_w1.N">Zadání!$D$19</definedName>
    <definedName name="t_wp">#REF!</definedName>
    <definedName name="tau_p">Zadání!#REF!</definedName>
    <definedName name="V_sv">#REF!</definedName>
    <definedName name="VSV_os">#REF!</definedName>
    <definedName name="Vtv_den">Zadání!$D$16</definedName>
    <definedName name="vztažná_plocha_kol_2">Zadání!$G$39</definedName>
    <definedName name="Vztažná_plocha_kolektoru">Zadání!$D$39</definedName>
    <definedName name="z">Zadání!$D$21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A25" i="1" s="1"/>
  <c r="A26" i="1" s="1"/>
  <c r="A27" i="1" s="1"/>
  <c r="A28" i="1" s="1"/>
  <c r="A29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7" i="1" s="1"/>
  <c r="A48" i="1" s="1"/>
  <c r="A49" i="1" s="1"/>
  <c r="A50" i="1" s="1"/>
  <c r="A51" i="1" s="1"/>
  <c r="A52" i="1" s="1"/>
  <c r="A53" i="1" s="1"/>
  <c r="A54" i="1" s="1"/>
  <c r="A56" i="1" s="1"/>
  <c r="D52" i="1" l="1"/>
  <c r="F52" i="1" s="1"/>
  <c r="R67" i="12"/>
  <c r="C67" i="12"/>
  <c r="U11" i="7"/>
  <c r="U12" i="7"/>
  <c r="U13" i="7"/>
  <c r="AC61" i="13"/>
  <c r="AB61" i="13"/>
  <c r="AA61" i="13"/>
  <c r="Z61" i="13"/>
  <c r="Y61" i="13"/>
  <c r="X61" i="13"/>
  <c r="W61" i="13"/>
  <c r="V61" i="13"/>
  <c r="U61" i="13"/>
  <c r="T61" i="13"/>
  <c r="S61" i="13"/>
  <c r="R61" i="13"/>
  <c r="AC60" i="13"/>
  <c r="AB60" i="13"/>
  <c r="AA60" i="13"/>
  <c r="Z60" i="13"/>
  <c r="Y60" i="13"/>
  <c r="X60" i="13"/>
  <c r="W60" i="13"/>
  <c r="V60" i="13"/>
  <c r="U60" i="13"/>
  <c r="T60" i="13"/>
  <c r="S60" i="13"/>
  <c r="R60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AC61" i="12"/>
  <c r="AB61" i="12"/>
  <c r="AA61" i="12"/>
  <c r="Z61" i="12"/>
  <c r="Y61" i="12"/>
  <c r="X61" i="12"/>
  <c r="W61" i="12"/>
  <c r="V61" i="12"/>
  <c r="U61" i="12"/>
  <c r="T61" i="12"/>
  <c r="S61" i="12"/>
  <c r="R61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AC56" i="12"/>
  <c r="AB56" i="12"/>
  <c r="AA56" i="12"/>
  <c r="Z56" i="12"/>
  <c r="Y56" i="12"/>
  <c r="X56" i="12"/>
  <c r="W56" i="12"/>
  <c r="V56" i="12"/>
  <c r="U56" i="12"/>
  <c r="T56" i="12"/>
  <c r="S56" i="12"/>
  <c r="C56" i="12"/>
  <c r="R56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N56" i="12"/>
  <c r="M56" i="12"/>
  <c r="L56" i="12"/>
  <c r="K56" i="12"/>
  <c r="J56" i="12"/>
  <c r="I56" i="12"/>
  <c r="H56" i="12"/>
  <c r="G56" i="12"/>
  <c r="F56" i="12"/>
  <c r="E56" i="12"/>
  <c r="D56" i="12"/>
  <c r="S63" i="13"/>
  <c r="AC65" i="13" s="1"/>
  <c r="L17" i="7" s="1"/>
  <c r="N17" i="7" s="1"/>
  <c r="S53" i="13"/>
  <c r="D63" i="13"/>
  <c r="D53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D54" i="1" l="1"/>
  <c r="K65" i="13"/>
  <c r="K14" i="7" s="1"/>
  <c r="M14" i="7" s="1"/>
  <c r="R65" i="13"/>
  <c r="L6" i="7" s="1"/>
  <c r="N6" i="7" s="1"/>
  <c r="V65" i="13"/>
  <c r="L10" i="7" s="1"/>
  <c r="N10" i="7" s="1"/>
  <c r="Z65" i="13"/>
  <c r="L14" i="7" s="1"/>
  <c r="N14" i="7" s="1"/>
  <c r="E65" i="13"/>
  <c r="K8" i="7" s="1"/>
  <c r="M8" i="7" s="1"/>
  <c r="I65" i="13"/>
  <c r="K12" i="7" s="1"/>
  <c r="M12" i="7" s="1"/>
  <c r="M65" i="13"/>
  <c r="K16" i="7" s="1"/>
  <c r="M16" i="7" s="1"/>
  <c r="S65" i="13"/>
  <c r="L7" i="7" s="1"/>
  <c r="N7" i="7" s="1"/>
  <c r="W65" i="13"/>
  <c r="L11" i="7" s="1"/>
  <c r="N11" i="7" s="1"/>
  <c r="AA65" i="13"/>
  <c r="L15" i="7" s="1"/>
  <c r="N15" i="7" s="1"/>
  <c r="B65" i="13"/>
  <c r="F65" i="13"/>
  <c r="K9" i="7" s="1"/>
  <c r="M9" i="7" s="1"/>
  <c r="J65" i="13"/>
  <c r="K13" i="7" s="1"/>
  <c r="M13" i="7" s="1"/>
  <c r="N65" i="13"/>
  <c r="K17" i="7" s="1"/>
  <c r="M17" i="7" s="1"/>
  <c r="T65" i="13"/>
  <c r="L8" i="7" s="1"/>
  <c r="N8" i="7" s="1"/>
  <c r="X65" i="13"/>
  <c r="L12" i="7" s="1"/>
  <c r="N12" i="7" s="1"/>
  <c r="AB65" i="13"/>
  <c r="L16" i="7" s="1"/>
  <c r="N16" i="7" s="1"/>
  <c r="D65" i="13"/>
  <c r="K7" i="7" s="1"/>
  <c r="M7" i="7" s="1"/>
  <c r="H65" i="13"/>
  <c r="K11" i="7" s="1"/>
  <c r="M11" i="7" s="1"/>
  <c r="L65" i="13"/>
  <c r="K15" i="7" s="1"/>
  <c r="M15" i="7" s="1"/>
  <c r="C65" i="13"/>
  <c r="K6" i="7" s="1"/>
  <c r="M6" i="7" s="1"/>
  <c r="G65" i="13"/>
  <c r="K10" i="7" s="1"/>
  <c r="M10" i="7" s="1"/>
  <c r="Q65" i="13"/>
  <c r="U65" i="13"/>
  <c r="L9" i="7" s="1"/>
  <c r="N9" i="7" s="1"/>
  <c r="Y65" i="13"/>
  <c r="L13" i="7" s="1"/>
  <c r="N13" i="7" s="1"/>
  <c r="N18" i="7" l="1"/>
  <c r="S63" i="12"/>
  <c r="T65" i="12" s="1"/>
  <c r="G8" i="7" s="1"/>
  <c r="D63" i="12"/>
  <c r="S53" i="12"/>
  <c r="D53" i="12"/>
  <c r="C55" i="12"/>
  <c r="D55" i="12"/>
  <c r="E55" i="12"/>
  <c r="F55" i="12"/>
  <c r="G55" i="12"/>
  <c r="H55" i="12"/>
  <c r="I55" i="12"/>
  <c r="J55" i="12"/>
  <c r="K55" i="12"/>
  <c r="L55" i="12"/>
  <c r="M55" i="12"/>
  <c r="N55" i="12"/>
  <c r="R55" i="12"/>
  <c r="S55" i="12"/>
  <c r="T55" i="12"/>
  <c r="U55" i="12"/>
  <c r="V55" i="12"/>
  <c r="W55" i="12"/>
  <c r="X55" i="12"/>
  <c r="Y55" i="12"/>
  <c r="Z55" i="12"/>
  <c r="AA55" i="12"/>
  <c r="AB55" i="12"/>
  <c r="AC55" i="12"/>
  <c r="D40" i="1"/>
  <c r="G40" i="1"/>
  <c r="O16" i="7" l="1"/>
  <c r="O9" i="7"/>
  <c r="O14" i="7"/>
  <c r="O7" i="7"/>
  <c r="O13" i="7"/>
  <c r="O17" i="7"/>
  <c r="O6" i="7"/>
  <c r="O15" i="7"/>
  <c r="O12" i="7"/>
  <c r="O10" i="7"/>
  <c r="O8" i="7"/>
  <c r="O11" i="7"/>
  <c r="C65" i="12"/>
  <c r="F6" i="7" s="1"/>
  <c r="AA65" i="12"/>
  <c r="G15" i="7" s="1"/>
  <c r="V65" i="12"/>
  <c r="G10" i="7" s="1"/>
  <c r="Q65" i="12"/>
  <c r="U65" i="12"/>
  <c r="G9" i="7" s="1"/>
  <c r="Y65" i="12"/>
  <c r="G13" i="7" s="1"/>
  <c r="S65" i="12"/>
  <c r="G7" i="7" s="1"/>
  <c r="Z65" i="12"/>
  <c r="G14" i="7" s="1"/>
  <c r="AC65" i="12"/>
  <c r="G17" i="7" s="1"/>
  <c r="W65" i="12"/>
  <c r="G11" i="7" s="1"/>
  <c r="R65" i="12"/>
  <c r="G6" i="7" s="1"/>
  <c r="AB65" i="12"/>
  <c r="G16" i="7" s="1"/>
  <c r="X65" i="12"/>
  <c r="G12" i="7" s="1"/>
  <c r="J65" i="12"/>
  <c r="F13" i="7" s="1"/>
  <c r="B65" i="12"/>
  <c r="M65" i="12"/>
  <c r="F16" i="7" s="1"/>
  <c r="I65" i="12"/>
  <c r="F12" i="7" s="1"/>
  <c r="H12" i="7" s="1"/>
  <c r="E65" i="12"/>
  <c r="F8" i="7" s="1"/>
  <c r="H8" i="7" s="1"/>
  <c r="L65" i="12"/>
  <c r="F15" i="7" s="1"/>
  <c r="H65" i="12"/>
  <c r="F11" i="7" s="1"/>
  <c r="D65" i="12"/>
  <c r="F7" i="7" s="1"/>
  <c r="N65" i="12"/>
  <c r="F17" i="7" s="1"/>
  <c r="F65" i="12"/>
  <c r="F9" i="7" s="1"/>
  <c r="K65" i="12"/>
  <c r="F14" i="7" s="1"/>
  <c r="G65" i="12"/>
  <c r="F10" i="7" s="1"/>
  <c r="H13" i="7" l="1"/>
  <c r="H14" i="7"/>
  <c r="H15" i="7"/>
  <c r="H10" i="7"/>
  <c r="H7" i="7"/>
  <c r="H6" i="7"/>
  <c r="H11" i="7"/>
  <c r="H17" i="7"/>
  <c r="H16" i="7"/>
  <c r="H9" i="7"/>
  <c r="O18" i="7"/>
  <c r="D53" i="1"/>
  <c r="F48" i="1" l="1"/>
  <c r="A54" i="10"/>
  <c r="D13" i="1"/>
  <c r="F54" i="1" l="1"/>
  <c r="D21" i="1" l="1"/>
  <c r="E29" i="1"/>
  <c r="A29" i="10"/>
  <c r="A30" i="10"/>
  <c r="A31" i="10"/>
  <c r="A32" i="10"/>
  <c r="A33" i="10"/>
  <c r="AB18" i="7"/>
  <c r="E11" i="1"/>
  <c r="D16" i="1"/>
  <c r="U6" i="7" l="1"/>
  <c r="U8" i="7"/>
  <c r="U10" i="7"/>
  <c r="U14" i="7"/>
  <c r="U16" i="7"/>
  <c r="U7" i="7"/>
  <c r="U9" i="7"/>
  <c r="U15" i="7"/>
  <c r="U17" i="7"/>
  <c r="T7" i="7"/>
  <c r="T9" i="7"/>
  <c r="T11" i="7"/>
  <c r="V11" i="7" s="1"/>
  <c r="T13" i="7"/>
  <c r="V13" i="7" s="1"/>
  <c r="T15" i="7"/>
  <c r="T17" i="7"/>
  <c r="T6" i="7"/>
  <c r="T8" i="7"/>
  <c r="T10" i="7"/>
  <c r="T12" i="7"/>
  <c r="V12" i="7" s="1"/>
  <c r="T14" i="7"/>
  <c r="T16" i="7"/>
  <c r="H10" i="10" l="1"/>
  <c r="V15" i="7"/>
  <c r="H13" i="10" s="1"/>
  <c r="V17" i="7"/>
  <c r="H15" i="10" s="1"/>
  <c r="V6" i="7"/>
  <c r="H4" i="10" s="1"/>
  <c r="V14" i="7"/>
  <c r="H12" i="10" s="1"/>
  <c r="V9" i="7"/>
  <c r="H7" i="10" s="1"/>
  <c r="V10" i="7"/>
  <c r="H8" i="10" s="1"/>
  <c r="V16" i="7"/>
  <c r="H14" i="10" s="1"/>
  <c r="H9" i="10"/>
  <c r="H11" i="10"/>
  <c r="V7" i="7"/>
  <c r="V8" i="7"/>
  <c r="H6" i="10" s="1"/>
  <c r="U18" i="7"/>
  <c r="D48" i="1" s="1"/>
  <c r="T18" i="7"/>
  <c r="D47" i="1" s="1"/>
  <c r="M18" i="7" l="1"/>
  <c r="H5" i="10"/>
  <c r="V18" i="7"/>
  <c r="D42" i="1" s="1"/>
  <c r="I6" i="7" s="1"/>
  <c r="G42" i="1" l="1"/>
  <c r="J6" i="7" s="1"/>
  <c r="D20" i="1"/>
  <c r="Q6" i="7" s="1"/>
  <c r="P6" i="7" l="1"/>
  <c r="R6" i="7"/>
  <c r="S6" i="7" s="1"/>
  <c r="W6" i="7" s="1"/>
  <c r="J17" i="7"/>
  <c r="R17" i="7" s="1"/>
  <c r="J13" i="7"/>
  <c r="R13" i="7" s="1"/>
  <c r="J9" i="7"/>
  <c r="R9" i="7" s="1"/>
  <c r="J16" i="7"/>
  <c r="R16" i="7" s="1"/>
  <c r="J12" i="7"/>
  <c r="R12" i="7" s="1"/>
  <c r="J8" i="7"/>
  <c r="R8" i="7" s="1"/>
  <c r="J15" i="7"/>
  <c r="R15" i="7" s="1"/>
  <c r="J11" i="7"/>
  <c r="R11" i="7" s="1"/>
  <c r="J7" i="7"/>
  <c r="R7" i="7" s="1"/>
  <c r="J14" i="7"/>
  <c r="R14" i="7" s="1"/>
  <c r="J10" i="7"/>
  <c r="R10" i="7" s="1"/>
  <c r="I11" i="7"/>
  <c r="Q11" i="7" s="1"/>
  <c r="I13" i="7"/>
  <c r="Q13" i="7" s="1"/>
  <c r="I15" i="7"/>
  <c r="Q15" i="7" s="1"/>
  <c r="I10" i="7"/>
  <c r="Q10" i="7" s="1"/>
  <c r="I17" i="7"/>
  <c r="Q17" i="7" s="1"/>
  <c r="I12" i="7"/>
  <c r="Q12" i="7" s="1"/>
  <c r="I8" i="7"/>
  <c r="Q8" i="7" s="1"/>
  <c r="I7" i="7"/>
  <c r="Q7" i="7" s="1"/>
  <c r="I9" i="7"/>
  <c r="Q9" i="7" s="1"/>
  <c r="I14" i="7"/>
  <c r="Q14" i="7" s="1"/>
  <c r="I16" i="7"/>
  <c r="Q16" i="7" s="1"/>
  <c r="S12" i="7" l="1"/>
  <c r="W12" i="7" s="1"/>
  <c r="I10" i="10" s="1"/>
  <c r="S11" i="7"/>
  <c r="W11" i="7" s="1"/>
  <c r="I9" i="10" s="1"/>
  <c r="S8" i="7"/>
  <c r="W8" i="7" s="1"/>
  <c r="I6" i="10" s="1"/>
  <c r="S10" i="7"/>
  <c r="W10" i="7" s="1"/>
  <c r="I8" i="10" s="1"/>
  <c r="S9" i="7"/>
  <c r="W9" i="7" s="1"/>
  <c r="I7" i="10" s="1"/>
  <c r="S14" i="7"/>
  <c r="W14" i="7" s="1"/>
  <c r="I12" i="10" s="1"/>
  <c r="S13" i="7"/>
  <c r="W13" i="7" s="1"/>
  <c r="I11" i="10" s="1"/>
  <c r="S15" i="7"/>
  <c r="W15" i="7" s="1"/>
  <c r="I13" i="10" s="1"/>
  <c r="S16" i="7"/>
  <c r="W16" i="7" s="1"/>
  <c r="I14" i="10" s="1"/>
  <c r="S17" i="7"/>
  <c r="W17" i="7" s="1"/>
  <c r="I15" i="10" s="1"/>
  <c r="S7" i="7"/>
  <c r="W7" i="7" s="1"/>
  <c r="I5" i="10" s="1"/>
  <c r="P10" i="7"/>
  <c r="P8" i="7"/>
  <c r="P15" i="7"/>
  <c r="P7" i="7"/>
  <c r="P14" i="7"/>
  <c r="P12" i="7"/>
  <c r="P13" i="7"/>
  <c r="P16" i="7"/>
  <c r="P9" i="7"/>
  <c r="P17" i="7"/>
  <c r="P11" i="7"/>
  <c r="Q18" i="7" l="1"/>
  <c r="I4" i="10"/>
  <c r="I16" i="10" s="1"/>
  <c r="W18" i="7" l="1"/>
  <c r="AA21" i="7" s="1"/>
  <c r="AA23" i="7" l="1"/>
  <c r="D50" i="1" s="1"/>
  <c r="D49" i="1"/>
  <c r="AA22" i="7"/>
  <c r="D51" i="1" l="1"/>
  <c r="H11" i="1"/>
</calcChain>
</file>

<file path=xl/sharedStrings.xml><?xml version="1.0" encoding="utf-8"?>
<sst xmlns="http://schemas.openxmlformats.org/spreadsheetml/2006/main" count="414" uniqueCount="189">
  <si>
    <t>°C</t>
  </si>
  <si>
    <t>n</t>
  </si>
  <si>
    <t>měsíc</t>
  </si>
  <si>
    <t>-</t>
  </si>
  <si>
    <t>p</t>
  </si>
  <si>
    <t>%</t>
  </si>
  <si>
    <r>
      <t>m</t>
    </r>
    <r>
      <rPr>
        <vertAlign val="superscript"/>
        <sz val="10"/>
        <rFont val="Arial CE"/>
        <charset val="238"/>
      </rPr>
      <t>2</t>
    </r>
  </si>
  <si>
    <t>dny</t>
  </si>
  <si>
    <r>
      <t>W/m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>.K</t>
    </r>
    <r>
      <rPr>
        <vertAlign val="superscript"/>
        <sz val="10"/>
        <rFont val="Arial CE"/>
        <charset val="238"/>
      </rPr>
      <t>2</t>
    </r>
  </si>
  <si>
    <r>
      <t>W/m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>.K</t>
    </r>
  </si>
  <si>
    <t>kW</t>
  </si>
  <si>
    <t>e</t>
  </si>
  <si>
    <t>f</t>
  </si>
  <si>
    <t>l/den</t>
  </si>
  <si>
    <t>Příprava teplé vody a vytápění</t>
  </si>
  <si>
    <t>sklon</t>
  </si>
  <si>
    <t>azimut</t>
  </si>
  <si>
    <t>Typ solární soustavy</t>
  </si>
  <si>
    <t>Příprava teplé vody, od 10 do 50 m2</t>
  </si>
  <si>
    <t>Příprava teplé vody, od 50 do 200 m2</t>
  </si>
  <si>
    <t>Příprava teplé vody, nad 200 m2</t>
  </si>
  <si>
    <t>Příprava teplé vody a vytápění, do 10 m2</t>
  </si>
  <si>
    <t>Příprava teplé vody a vytápění, od 10 do 50 m2</t>
  </si>
  <si>
    <t>Příprava teplé vody a vytápění, od 50 do 200 m2</t>
  </si>
  <si>
    <t>Příprava teplé vody a vytápění, nad 200 m2</t>
  </si>
  <si>
    <r>
      <t>Příprava teplé vody, do 10 m</t>
    </r>
    <r>
      <rPr>
        <vertAlign val="superscript"/>
        <sz val="10"/>
        <rFont val="Arial CE"/>
        <charset val="238"/>
      </rPr>
      <t>2</t>
    </r>
  </si>
  <si>
    <t>Typ přípravy TV</t>
  </si>
  <si>
    <t>Centrální zásobníkový ohřev s řízenou cirkulací</t>
  </si>
  <si>
    <t>Centrální zásobníkový ohřev s neřízenou cirkulací</t>
  </si>
  <si>
    <t>°</t>
  </si>
  <si>
    <t>Energetická náročnost budovy (vytápění)</t>
  </si>
  <si>
    <t>běžný standard, vyhláškou požadované tepelné vlastnosti konstrukcí</t>
  </si>
  <si>
    <t>nízkoenergetický standard, vyhláškou doporučené tepelné vlastnosti konstrukcí</t>
  </si>
  <si>
    <t>pasivní standard, tepelné vlastnosti konstrukcí nad rámec vyhláškou doporučených hodnot</t>
  </si>
  <si>
    <r>
      <rPr>
        <sz val="10"/>
        <rFont val="Arial CE"/>
        <charset val="238"/>
      </rPr>
      <t>Vnitřní výpočtová teplota</t>
    </r>
    <r>
      <rPr>
        <i/>
        <sz val="10"/>
        <rFont val="Arial CE"/>
        <charset val="238"/>
      </rPr>
      <t xml:space="preserve"> t</t>
    </r>
    <r>
      <rPr>
        <vertAlign val="subscript"/>
        <sz val="10"/>
        <rFont val="Arial CE"/>
        <charset val="238"/>
      </rPr>
      <t>iv</t>
    </r>
  </si>
  <si>
    <r>
      <rPr>
        <sz val="10"/>
        <rFont val="Arial CE"/>
        <charset val="238"/>
      </rPr>
      <t>Venkovní výpočtová teplota</t>
    </r>
    <r>
      <rPr>
        <i/>
        <sz val="10"/>
        <rFont val="Arial CE"/>
        <charset val="238"/>
      </rPr>
      <t xml:space="preserve"> t</t>
    </r>
    <r>
      <rPr>
        <vertAlign val="subscript"/>
        <sz val="10"/>
        <rFont val="Arial CE"/>
        <charset val="238"/>
      </rPr>
      <t>ev</t>
    </r>
  </si>
  <si>
    <t>Parametry solárních kolektorů</t>
  </si>
  <si>
    <t>Průměrná teplota v solárních kolektorech</t>
  </si>
  <si>
    <t>t k,m</t>
  </si>
  <si>
    <t>kWh/rok</t>
  </si>
  <si>
    <t>Snížení spotřeby v letních měsících</t>
  </si>
  <si>
    <t>ANO</t>
  </si>
  <si>
    <t>NE</t>
  </si>
  <si>
    <r>
      <t>kWh/m</t>
    </r>
    <r>
      <rPr>
        <b/>
        <vertAlign val="superscript"/>
        <sz val="12"/>
        <rFont val="Arial CE"/>
        <charset val="238"/>
      </rPr>
      <t>2</t>
    </r>
    <r>
      <rPr>
        <b/>
        <sz val="12"/>
        <rFont val="Arial CE"/>
        <charset val="238"/>
      </rPr>
      <t>.den</t>
    </r>
  </si>
  <si>
    <r>
      <t>kWh/m</t>
    </r>
    <r>
      <rPr>
        <b/>
        <vertAlign val="superscript"/>
        <sz val="12"/>
        <rFont val="Arial CE"/>
      </rPr>
      <t>2</t>
    </r>
    <r>
      <rPr>
        <b/>
        <sz val="12"/>
        <rFont val="Arial CE"/>
        <charset val="238"/>
      </rPr>
      <t>.rok</t>
    </r>
  </si>
  <si>
    <t>kWh</t>
  </si>
  <si>
    <t>Typ bazénu</t>
  </si>
  <si>
    <t>Vnitřní - mimo doby provozu zakrývaný</t>
  </si>
  <si>
    <t>Vnitřní - mimo doby provozu nezakrývaný</t>
  </si>
  <si>
    <t>Vnější - mimo doby provozu zakrývaný</t>
  </si>
  <si>
    <t>Vnější - mimo doby provozu nezakrývaný</t>
  </si>
  <si>
    <t>Počet kolektorů</t>
  </si>
  <si>
    <r>
      <t>kWh/m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>.rok</t>
    </r>
  </si>
  <si>
    <r>
      <rPr>
        <sz val="10"/>
        <rFont val="Arial CE"/>
        <charset val="238"/>
      </rPr>
      <t xml:space="preserve">Přirážka na tepelné ztráty otopné soustavy </t>
    </r>
    <r>
      <rPr>
        <i/>
        <sz val="10"/>
        <rFont val="Arial CE"/>
        <charset val="238"/>
      </rPr>
      <t>v</t>
    </r>
  </si>
  <si>
    <r>
      <t xml:space="preserve">Lineární součinitel tepelné ztráty kolektoru </t>
    </r>
    <r>
      <rPr>
        <i/>
        <sz val="10"/>
        <rFont val="Arial CE"/>
        <charset val="238"/>
      </rPr>
      <t>a</t>
    </r>
    <r>
      <rPr>
        <vertAlign val="subscript"/>
        <sz val="10"/>
        <rFont val="Arial CE"/>
        <charset val="238"/>
      </rPr>
      <t>1</t>
    </r>
  </si>
  <si>
    <r>
      <t xml:space="preserve">Kvadratický součinitel tepelné ztráty kolektoru </t>
    </r>
    <r>
      <rPr>
        <i/>
        <sz val="10"/>
        <rFont val="Arial CE"/>
        <charset val="238"/>
      </rPr>
      <t>a</t>
    </r>
    <r>
      <rPr>
        <vertAlign val="subscript"/>
        <sz val="10"/>
        <rFont val="Arial CE"/>
        <charset val="238"/>
      </rPr>
      <t>2</t>
    </r>
  </si>
  <si>
    <r>
      <rPr>
        <sz val="10"/>
        <rFont val="Arial CE"/>
        <charset val="238"/>
      </rPr>
      <t>Srážka z tepelných zisků kolektorů vlivem tep. ztrát</t>
    </r>
    <r>
      <rPr>
        <i/>
        <sz val="10"/>
        <rFont val="Arial CE"/>
        <charset val="238"/>
      </rPr>
      <t xml:space="preserve"> p</t>
    </r>
  </si>
  <si>
    <r>
      <rPr>
        <sz val="10"/>
        <rFont val="Arial CE"/>
        <charset val="238"/>
      </rPr>
      <t>Střední denní teplota v solárních kolektorech</t>
    </r>
    <r>
      <rPr>
        <i/>
        <sz val="10"/>
        <rFont val="Arial CE"/>
        <charset val="238"/>
      </rPr>
      <t xml:space="preserve"> t</t>
    </r>
    <r>
      <rPr>
        <vertAlign val="subscript"/>
        <sz val="10"/>
        <rFont val="Arial CE"/>
        <charset val="238"/>
      </rPr>
      <t>k,m</t>
    </r>
  </si>
  <si>
    <r>
      <rPr>
        <b/>
        <i/>
        <sz val="12"/>
        <rFont val="Arial CE"/>
        <charset val="238"/>
      </rPr>
      <t>q</t>
    </r>
    <r>
      <rPr>
        <b/>
        <vertAlign val="subscript"/>
        <sz val="12"/>
        <rFont val="Arial CE"/>
      </rPr>
      <t>ss,u</t>
    </r>
  </si>
  <si>
    <r>
      <rPr>
        <b/>
        <i/>
        <sz val="12"/>
        <rFont val="Arial CE"/>
        <charset val="238"/>
      </rPr>
      <t>Q</t>
    </r>
    <r>
      <rPr>
        <b/>
        <vertAlign val="subscript"/>
        <sz val="12"/>
        <rFont val="Arial CE"/>
      </rPr>
      <t>ss,u</t>
    </r>
  </si>
  <si>
    <r>
      <t>Q</t>
    </r>
    <r>
      <rPr>
        <b/>
        <vertAlign val="subscript"/>
        <sz val="12"/>
        <rFont val="Arial CE"/>
        <charset val="238"/>
      </rPr>
      <t>p,c</t>
    </r>
  </si>
  <si>
    <r>
      <t>Q</t>
    </r>
    <r>
      <rPr>
        <b/>
        <vertAlign val="subscript"/>
        <sz val="12"/>
        <rFont val="Arial CE"/>
        <charset val="238"/>
      </rPr>
      <t>p,VYT</t>
    </r>
  </si>
  <si>
    <r>
      <t>Q</t>
    </r>
    <r>
      <rPr>
        <b/>
        <vertAlign val="subscript"/>
        <sz val="12"/>
        <rFont val="Arial CE"/>
        <charset val="238"/>
      </rPr>
      <t>p,TV</t>
    </r>
  </si>
  <si>
    <r>
      <t>H</t>
    </r>
    <r>
      <rPr>
        <b/>
        <vertAlign val="subscript"/>
        <sz val="12"/>
        <rFont val="Arial CE"/>
        <charset val="238"/>
      </rPr>
      <t>T,měs</t>
    </r>
  </si>
  <si>
    <r>
      <t>h</t>
    </r>
    <r>
      <rPr>
        <b/>
        <vertAlign val="subscript"/>
        <sz val="12"/>
        <rFont val="Arial"/>
        <family val="2"/>
        <charset val="238"/>
      </rPr>
      <t>k</t>
    </r>
  </si>
  <si>
    <r>
      <t>t</t>
    </r>
    <r>
      <rPr>
        <b/>
        <vertAlign val="subscript"/>
        <sz val="12"/>
        <rFont val="Arial CE"/>
        <charset val="238"/>
      </rPr>
      <t>es</t>
    </r>
  </si>
  <si>
    <r>
      <t>t</t>
    </r>
    <r>
      <rPr>
        <b/>
        <vertAlign val="subscript"/>
        <sz val="12"/>
        <rFont val="Arial CE"/>
        <charset val="238"/>
      </rPr>
      <t>ep</t>
    </r>
  </si>
  <si>
    <r>
      <rPr>
        <sz val="10"/>
        <rFont val="Arial CE"/>
        <charset val="238"/>
      </rPr>
      <t>Tepelná ztráta domu</t>
    </r>
    <r>
      <rPr>
        <i/>
        <sz val="10"/>
        <rFont val="Arial CE"/>
        <charset val="238"/>
      </rPr>
      <t xml:space="preserve"> Q</t>
    </r>
    <r>
      <rPr>
        <vertAlign val="subscript"/>
        <sz val="10"/>
        <rFont val="Arial CE"/>
        <charset val="238"/>
      </rPr>
      <t>z</t>
    </r>
  </si>
  <si>
    <r>
      <t>Q</t>
    </r>
    <r>
      <rPr>
        <b/>
        <vertAlign val="subscript"/>
        <sz val="12"/>
        <rFont val="Arial CE"/>
        <charset val="238"/>
      </rPr>
      <t>ss,u</t>
    </r>
  </si>
  <si>
    <r>
      <t>kWh/m</t>
    </r>
    <r>
      <rPr>
        <b/>
        <vertAlign val="superscript"/>
        <sz val="12"/>
        <rFont val="Arial CE"/>
        <charset val="238"/>
      </rPr>
      <t>2</t>
    </r>
  </si>
  <si>
    <r>
      <t>Q</t>
    </r>
    <r>
      <rPr>
        <b/>
        <vertAlign val="subscript"/>
        <sz val="12"/>
        <rFont val="Arial CE"/>
        <charset val="238"/>
      </rPr>
      <t>k,u</t>
    </r>
  </si>
  <si>
    <t>Předpokládaná energetická náročnost budovy (vytápění)</t>
  </si>
  <si>
    <t>ks</t>
  </si>
  <si>
    <t>[-]</t>
  </si>
  <si>
    <t>[kWh]</t>
  </si>
  <si>
    <t>Celkem</t>
  </si>
  <si>
    <r>
      <t>Q</t>
    </r>
    <r>
      <rPr>
        <vertAlign val="subscript"/>
        <sz val="11"/>
        <rFont val="Arial CE"/>
        <charset val="238"/>
      </rPr>
      <t>ss,u,TV</t>
    </r>
  </si>
  <si>
    <t>GJ</t>
  </si>
  <si>
    <t>Pro výběr jednotek na VYHODNOCENÍ</t>
  </si>
  <si>
    <t>Potřeba tepla pro přípravu TV</t>
  </si>
  <si>
    <r>
      <t>Q</t>
    </r>
    <r>
      <rPr>
        <b/>
        <vertAlign val="subscript"/>
        <sz val="11"/>
        <rFont val="Arial CE"/>
        <charset val="238"/>
      </rPr>
      <t>p,TV</t>
    </r>
    <r>
      <rPr>
        <b/>
        <sz val="11"/>
        <rFont val="Arial CE"/>
        <charset val="238"/>
      </rPr>
      <t>/Q</t>
    </r>
    <r>
      <rPr>
        <b/>
        <vertAlign val="subscript"/>
        <sz val="11"/>
        <rFont val="Arial CE"/>
        <charset val="238"/>
      </rPr>
      <t>p,c</t>
    </r>
  </si>
  <si>
    <r>
      <t xml:space="preserve">Solární podíl (pokrytí potřeby tepla) </t>
    </r>
    <r>
      <rPr>
        <i/>
        <sz val="10"/>
        <rFont val="Arial CE"/>
        <charset val="238"/>
      </rPr>
      <t>f</t>
    </r>
  </si>
  <si>
    <r>
      <t>Q</t>
    </r>
    <r>
      <rPr>
        <b/>
        <vertAlign val="subscript"/>
        <sz val="12"/>
        <rFont val="Arial CE"/>
        <charset val="238"/>
      </rPr>
      <t>VYT</t>
    </r>
  </si>
  <si>
    <t>Potřeba tepla pro vytápění</t>
  </si>
  <si>
    <t>Vyhodnocení</t>
  </si>
  <si>
    <t>Žádám v oblasti podpory</t>
  </si>
  <si>
    <t>Oblast podpory</t>
  </si>
  <si>
    <t>l</t>
  </si>
  <si>
    <t>Vyberte z uvedených možností:</t>
  </si>
  <si>
    <t>Identifikace nemovitosti:</t>
  </si>
  <si>
    <t>Počet osob:</t>
  </si>
  <si>
    <t>Spotřeba na osobu:</t>
  </si>
  <si>
    <t>l/os.den (při 55 °C)</t>
  </si>
  <si>
    <r>
      <t xml:space="preserve">Denní spotřeba teplé vody </t>
    </r>
    <r>
      <rPr>
        <i/>
        <sz val="10"/>
        <rFont val="Arial CE"/>
        <charset val="238"/>
      </rPr>
      <t>V</t>
    </r>
    <r>
      <rPr>
        <vertAlign val="subscript"/>
        <sz val="10"/>
        <rFont val="Arial CE"/>
        <charset val="238"/>
      </rPr>
      <t>TV,den</t>
    </r>
  </si>
  <si>
    <r>
      <rPr>
        <sz val="10"/>
        <rFont val="Arial CE"/>
        <charset val="238"/>
      </rPr>
      <t xml:space="preserve">Teplota studené vody </t>
    </r>
    <r>
      <rPr>
        <i/>
        <sz val="10"/>
        <rFont val="Arial CE"/>
        <charset val="238"/>
      </rPr>
      <t>t</t>
    </r>
    <r>
      <rPr>
        <vertAlign val="subscript"/>
        <sz val="10"/>
        <rFont val="Arial CE"/>
        <charset val="238"/>
      </rPr>
      <t>SV</t>
    </r>
  </si>
  <si>
    <r>
      <rPr>
        <sz val="10"/>
        <rFont val="Arial CE"/>
        <charset val="238"/>
      </rPr>
      <t xml:space="preserve">Teplota teplé vody </t>
    </r>
    <r>
      <rPr>
        <i/>
        <sz val="10"/>
        <rFont val="Arial CE"/>
        <charset val="238"/>
      </rPr>
      <t>t</t>
    </r>
    <r>
      <rPr>
        <vertAlign val="subscript"/>
        <sz val="10"/>
        <rFont val="Arial CE"/>
        <charset val="238"/>
      </rPr>
      <t>TV</t>
    </r>
  </si>
  <si>
    <r>
      <t xml:space="preserve">Přirážka na tepelné ztráty při přípravě teplé vody </t>
    </r>
    <r>
      <rPr>
        <i/>
        <sz val="10"/>
        <rFont val="Arial CE"/>
        <charset val="238"/>
      </rPr>
      <t>z</t>
    </r>
  </si>
  <si>
    <t>Objem solárního zásobníku (uveďte podle projektu)</t>
  </si>
  <si>
    <t xml:space="preserve">Použít data z výpočtu podle ČSN EN ISO 13 790 </t>
  </si>
  <si>
    <t xml:space="preserve">Minimální požadovaný objem solárního zásobníku </t>
  </si>
  <si>
    <t>osob</t>
  </si>
  <si>
    <t>Zadat hodnoty získané výpočtem podle ČSN EN ISO 13 790</t>
  </si>
  <si>
    <t>Centrální zásobníkový ohřev bez cirkulace</t>
  </si>
  <si>
    <r>
      <rPr>
        <sz val="10"/>
        <rFont val="Arial"/>
        <family val="2"/>
        <charset val="238"/>
      </rPr>
      <t>Optická účinnost</t>
    </r>
    <r>
      <rPr>
        <sz val="10"/>
        <rFont val="Symbol"/>
        <family val="1"/>
        <charset val="2"/>
      </rPr>
      <t xml:space="preserve"> h</t>
    </r>
    <r>
      <rPr>
        <vertAlign val="subscript"/>
        <sz val="10"/>
        <rFont val="Arial CE"/>
        <charset val="238"/>
      </rPr>
      <t>0</t>
    </r>
  </si>
  <si>
    <r>
      <t>W/m</t>
    </r>
    <r>
      <rPr>
        <b/>
        <vertAlign val="superscript"/>
        <sz val="12"/>
        <rFont val="Arial CE"/>
        <charset val="238"/>
      </rPr>
      <t>2</t>
    </r>
  </si>
  <si>
    <r>
      <t xml:space="preserve">Měrný využitelný zisk solárního systému </t>
    </r>
    <r>
      <rPr>
        <i/>
        <sz val="10"/>
        <rFont val="Arial CE"/>
        <charset val="238"/>
      </rPr>
      <t>q</t>
    </r>
    <r>
      <rPr>
        <vertAlign val="subscript"/>
        <sz val="10"/>
        <rFont val="Arial CE"/>
        <charset val="238"/>
      </rPr>
      <t>ss,u</t>
    </r>
  </si>
  <si>
    <r>
      <t>Celkový využitelný zisk solárního systému Q</t>
    </r>
    <r>
      <rPr>
        <vertAlign val="subscript"/>
        <sz val="10"/>
        <rFont val="Arial CE"/>
        <charset val="238"/>
      </rPr>
      <t>ss,u</t>
    </r>
  </si>
  <si>
    <t>Datum</t>
  </si>
  <si>
    <t>Bilance solárních termických systémů pro potřeby programu Nová zelená úsporám</t>
  </si>
  <si>
    <r>
      <t>Návrhová teplota přívodní otopné vody otopné soustavy t</t>
    </r>
    <r>
      <rPr>
        <vertAlign val="subscript"/>
        <sz val="10"/>
        <rFont val="Arial CE"/>
        <charset val="238"/>
      </rPr>
      <t>w1,N</t>
    </r>
  </si>
  <si>
    <t>v souladu s metodikou TNI 73 0302:2014</t>
  </si>
  <si>
    <t>jméno, příjmení a podpis zpracovatele</t>
  </si>
  <si>
    <t>Podprogram Rodinné domy - Oblast podpory C.3 - Instalace termických solárních systémů</t>
  </si>
  <si>
    <t>Vztažná plocha kolektoru</t>
  </si>
  <si>
    <t>Celková vztažná plocha kolektoru</t>
  </si>
  <si>
    <r>
      <t>m</t>
    </r>
    <r>
      <rPr>
        <vertAlign val="superscript"/>
        <sz val="10"/>
        <rFont val="Arial CE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</si>
  <si>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Plocha apertury solárního kolektor A</t>
    </r>
    <r>
      <rPr>
        <vertAlign val="subscript"/>
        <sz val="10"/>
        <rFont val="Arial CE"/>
        <charset val="238"/>
      </rPr>
      <t>a</t>
    </r>
  </si>
  <si>
    <t>Typ budovy</t>
  </si>
  <si>
    <t>Typ Budovy</t>
  </si>
  <si>
    <t>Rodinný dům</t>
  </si>
  <si>
    <t>Bytový dům</t>
  </si>
  <si>
    <t>SOL:  Solární systém pro přípravu teplé vody</t>
  </si>
  <si>
    <r>
      <t xml:space="preserve">Počet napojených bytových jednotek </t>
    </r>
    <r>
      <rPr>
        <i/>
        <sz val="10"/>
        <rFont val="Arial CE"/>
        <charset val="238"/>
      </rPr>
      <t>(pouze BD)</t>
    </r>
  </si>
  <si>
    <r>
      <t xml:space="preserve">Číslo popisné </t>
    </r>
    <r>
      <rPr>
        <i/>
        <sz val="10"/>
        <rFont val="Arial CE"/>
        <charset val="238"/>
      </rPr>
      <t>(evidenční)</t>
    </r>
    <r>
      <rPr>
        <sz val="10"/>
        <rFont val="Arial CE"/>
        <charset val="238"/>
      </rPr>
      <t>:</t>
    </r>
  </si>
  <si>
    <t>Typ oprávnění:</t>
  </si>
  <si>
    <t>Vyberte z uvedených možností</t>
  </si>
  <si>
    <t>autorizovaná osoba podle zákona č. 360/1992 Sb.</t>
  </si>
  <si>
    <t>osoba nebo firma oprávněná dle § 10d zákona č. 406/2000 Sb., o hospodaření energií</t>
  </si>
  <si>
    <t>energetický specialista dle § 10 odst. 1 písm. a) nebo b) zákona č. 406/2000 Sb., o hospodaření energií</t>
  </si>
  <si>
    <t>jiné (např. oprávnění vydané v jiném členském státě EU), doložte v příloze</t>
  </si>
  <si>
    <t>Obec:</t>
  </si>
  <si>
    <t>Ulice:</t>
  </si>
  <si>
    <t>PSČ:</t>
  </si>
  <si>
    <t>Pole č. 1</t>
  </si>
  <si>
    <t>Pole č. 2</t>
  </si>
  <si>
    <r>
      <t xml:space="preserve">Sklon solárního kolektoru </t>
    </r>
    <r>
      <rPr>
        <sz val="10"/>
        <rFont val="Symbol"/>
        <family val="1"/>
        <charset val="2"/>
      </rPr>
      <t>b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(svisle=90°)</t>
    </r>
  </si>
  <si>
    <r>
      <t xml:space="preserve">Azimut solárního kolektoru </t>
    </r>
    <r>
      <rPr>
        <sz val="10"/>
        <rFont val="Symbol"/>
        <family val="1"/>
        <charset val="2"/>
      </rPr>
      <t>g</t>
    </r>
    <r>
      <rPr>
        <sz val="10"/>
        <rFont val="Arial CE"/>
        <charset val="238"/>
      </rPr>
      <t xml:space="preserve"> </t>
    </r>
    <r>
      <rPr>
        <i/>
        <sz val="10"/>
        <rFont val="Arial CE"/>
        <charset val="238"/>
      </rPr>
      <t>(jih = 0°)</t>
    </r>
  </si>
  <si>
    <t>Typ kolektoru:</t>
  </si>
  <si>
    <t>Instalovaný výkon solárních kolektorů cca.</t>
  </si>
  <si>
    <t>Pro</t>
  </si>
  <si>
    <t>Lis</t>
  </si>
  <si>
    <t>Říj</t>
  </si>
  <si>
    <t>Zář</t>
  </si>
  <si>
    <t>Srp</t>
  </si>
  <si>
    <t>Čvc</t>
  </si>
  <si>
    <t>Čvn</t>
  </si>
  <si>
    <t>Kvě</t>
  </si>
  <si>
    <t>Dub</t>
  </si>
  <si>
    <t>Bře</t>
  </si>
  <si>
    <t>Úno</t>
  </si>
  <si>
    <t>Led</t>
  </si>
  <si>
    <t>zvolený sklon</t>
  </si>
  <si>
    <t>b</t>
  </si>
  <si>
    <t>zvolený azimut</t>
  </si>
  <si>
    <r>
      <t xml:space="preserve">Azimutový úhel osluněné plochy </t>
    </r>
    <r>
      <rPr>
        <i/>
        <sz val="9"/>
        <rFont val="Symbol"/>
        <family val="1"/>
        <charset val="2"/>
      </rPr>
      <t>g</t>
    </r>
    <r>
      <rPr>
        <sz val="9"/>
        <rFont val="Arial"/>
        <family val="2"/>
        <charset val="238"/>
      </rPr>
      <t xml:space="preserve"> = </t>
    </r>
    <r>
      <rPr>
        <sz val="9"/>
        <rFont val="Symbol"/>
        <family val="1"/>
        <charset val="2"/>
      </rPr>
      <t>±</t>
    </r>
    <r>
      <rPr>
        <sz val="9"/>
        <rFont val="Arial"/>
        <family val="2"/>
        <charset val="238"/>
      </rPr>
      <t xml:space="preserve"> 90°</t>
    </r>
  </si>
  <si>
    <r>
      <t xml:space="preserve">Azimutový úhel osluněné plochy </t>
    </r>
    <r>
      <rPr>
        <i/>
        <sz val="9"/>
        <rFont val="Symbol"/>
        <family val="1"/>
        <charset val="2"/>
      </rPr>
      <t>g</t>
    </r>
    <r>
      <rPr>
        <sz val="9"/>
        <rFont val="Arial"/>
        <family val="2"/>
        <charset val="238"/>
      </rPr>
      <t xml:space="preserve"> = </t>
    </r>
    <r>
      <rPr>
        <sz val="9"/>
        <rFont val="Symbol"/>
        <family val="1"/>
        <charset val="2"/>
      </rPr>
      <t>±</t>
    </r>
    <r>
      <rPr>
        <sz val="9"/>
        <rFont val="Arial"/>
        <family val="2"/>
        <charset val="238"/>
      </rPr>
      <t xml:space="preserve"> 75°</t>
    </r>
  </si>
  <si>
    <r>
      <t xml:space="preserve">Azimutový úhel osluněné plochy </t>
    </r>
    <r>
      <rPr>
        <i/>
        <sz val="9"/>
        <rFont val="Symbol"/>
        <family val="1"/>
        <charset val="2"/>
      </rPr>
      <t>g</t>
    </r>
    <r>
      <rPr>
        <sz val="9"/>
        <rFont val="Arial"/>
        <family val="2"/>
        <charset val="238"/>
      </rPr>
      <t xml:space="preserve"> = </t>
    </r>
    <r>
      <rPr>
        <sz val="9"/>
        <rFont val="Symbol"/>
        <family val="1"/>
        <charset val="2"/>
      </rPr>
      <t>±</t>
    </r>
    <r>
      <rPr>
        <sz val="9"/>
        <rFont val="Arial"/>
        <family val="2"/>
        <charset val="238"/>
      </rPr>
      <t xml:space="preserve"> 60°</t>
    </r>
  </si>
  <si>
    <r>
      <t xml:space="preserve">Azimutový úhel osluněné plochy </t>
    </r>
    <r>
      <rPr>
        <i/>
        <sz val="9"/>
        <rFont val="Symbol"/>
        <family val="1"/>
        <charset val="2"/>
      </rPr>
      <t>g</t>
    </r>
    <r>
      <rPr>
        <sz val="9"/>
        <rFont val="Arial"/>
        <family val="2"/>
        <charset val="238"/>
      </rPr>
      <t xml:space="preserve"> = </t>
    </r>
    <r>
      <rPr>
        <sz val="9"/>
        <rFont val="Symbol"/>
        <family val="1"/>
        <charset val="2"/>
      </rPr>
      <t>±</t>
    </r>
    <r>
      <rPr>
        <sz val="9"/>
        <rFont val="Arial"/>
        <family val="2"/>
        <charset val="238"/>
      </rPr>
      <t xml:space="preserve"> 45°</t>
    </r>
  </si>
  <si>
    <r>
      <t xml:space="preserve">Azimutový úhel osluněné plochy </t>
    </r>
    <r>
      <rPr>
        <i/>
        <sz val="9"/>
        <rFont val="Symbol"/>
        <family val="1"/>
        <charset val="2"/>
      </rPr>
      <t>g</t>
    </r>
    <r>
      <rPr>
        <sz val="9"/>
        <rFont val="Arial"/>
        <family val="2"/>
        <charset val="238"/>
      </rPr>
      <t xml:space="preserve"> = </t>
    </r>
    <r>
      <rPr>
        <sz val="9"/>
        <rFont val="Symbol"/>
        <family val="1"/>
        <charset val="2"/>
      </rPr>
      <t>±</t>
    </r>
    <r>
      <rPr>
        <sz val="9"/>
        <rFont val="Arial"/>
        <family val="2"/>
        <charset val="238"/>
      </rPr>
      <t xml:space="preserve"> 30°</t>
    </r>
  </si>
  <si>
    <r>
      <t xml:space="preserve">Azimutový úhel osluněné plochy </t>
    </r>
    <r>
      <rPr>
        <i/>
        <sz val="9"/>
        <rFont val="Symbol"/>
        <family val="1"/>
        <charset val="2"/>
      </rPr>
      <t>g</t>
    </r>
    <r>
      <rPr>
        <sz val="9"/>
        <rFont val="Arial"/>
        <family val="2"/>
        <charset val="238"/>
      </rPr>
      <t xml:space="preserve"> = </t>
    </r>
    <r>
      <rPr>
        <sz val="9"/>
        <rFont val="Symbol"/>
        <family val="1"/>
        <charset val="2"/>
      </rPr>
      <t>±</t>
    </r>
    <r>
      <rPr>
        <sz val="9"/>
        <rFont val="Arial"/>
        <family val="2"/>
        <charset val="238"/>
      </rPr>
      <t xml:space="preserve"> 15°</t>
    </r>
  </si>
  <si>
    <r>
      <t xml:space="preserve">Azimutový úhel osluněné plochy </t>
    </r>
    <r>
      <rPr>
        <i/>
        <sz val="9"/>
        <rFont val="Symbol"/>
        <family val="1"/>
        <charset val="2"/>
      </rPr>
      <t>g</t>
    </r>
    <r>
      <rPr>
        <sz val="9"/>
        <rFont val="Arial"/>
        <family val="2"/>
        <charset val="238"/>
      </rPr>
      <t xml:space="preserve"> = </t>
    </r>
    <r>
      <rPr>
        <sz val="9"/>
        <rFont val="Symbol"/>
        <family val="1"/>
        <charset val="2"/>
      </rPr>
      <t>±</t>
    </r>
    <r>
      <rPr>
        <sz val="9"/>
        <rFont val="Arial"/>
        <family val="2"/>
        <charset val="238"/>
      </rPr>
      <t xml:space="preserve"> 0° (orientace na jih)</t>
    </r>
  </si>
  <si>
    <r>
      <t xml:space="preserve">Střední sluneční ozáření </t>
    </r>
    <r>
      <rPr>
        <b/>
        <i/>
        <sz val="9"/>
        <rFont val="Arial"/>
        <family val="2"/>
        <charset val="238"/>
      </rPr>
      <t>G</t>
    </r>
    <r>
      <rPr>
        <b/>
        <vertAlign val="subscript"/>
        <sz val="9"/>
        <rFont val="Arial"/>
        <family val="2"/>
        <charset val="238"/>
      </rPr>
      <t>m</t>
    </r>
    <r>
      <rPr>
        <b/>
        <sz val="9"/>
        <rFont val="Arial"/>
        <family val="2"/>
        <charset val="238"/>
      </rPr>
      <t> [W/m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]</t>
    </r>
  </si>
  <si>
    <t>Úhel sklonu plochy</t>
  </si>
  <si>
    <r>
      <t>H</t>
    </r>
    <r>
      <rPr>
        <b/>
        <vertAlign val="subscript"/>
        <sz val="12"/>
        <rFont val="Arial CE"/>
        <charset val="238"/>
      </rPr>
      <t>T1,den</t>
    </r>
  </si>
  <si>
    <r>
      <t>H</t>
    </r>
    <r>
      <rPr>
        <b/>
        <vertAlign val="subscript"/>
        <sz val="12"/>
        <rFont val="Arial CE"/>
        <charset val="238"/>
      </rPr>
      <t>T2,den</t>
    </r>
  </si>
  <si>
    <r>
      <t xml:space="preserve">Dávka slunečního ozáření </t>
    </r>
    <r>
      <rPr>
        <b/>
        <i/>
        <sz val="9"/>
        <rFont val="Arial"/>
        <family val="2"/>
        <charset val="238"/>
      </rPr>
      <t>H</t>
    </r>
    <r>
      <rPr>
        <b/>
        <vertAlign val="subscript"/>
        <sz val="9"/>
        <rFont val="Arial"/>
        <family val="2"/>
        <charset val="238"/>
      </rPr>
      <t>T,měs</t>
    </r>
    <r>
      <rPr>
        <b/>
        <sz val="9"/>
        <rFont val="Arial"/>
        <family val="2"/>
        <charset val="238"/>
      </rPr>
      <t> [kWh/(m</t>
    </r>
    <r>
      <rPr>
        <b/>
        <vertAlign val="superscript"/>
        <sz val="9"/>
        <rFont val="Arial"/>
        <family val="2"/>
        <charset val="238"/>
      </rPr>
      <t>2</t>
    </r>
    <r>
      <rPr>
        <b/>
        <sz val="9"/>
        <rFont val="Arial"/>
        <family val="2"/>
        <charset val="238"/>
      </rPr>
      <t>.měs)]</t>
    </r>
  </si>
  <si>
    <r>
      <t>G</t>
    </r>
    <r>
      <rPr>
        <b/>
        <vertAlign val="subscript"/>
        <sz val="12"/>
        <rFont val="Arial CE"/>
        <charset val="238"/>
      </rPr>
      <t>T1,m</t>
    </r>
  </si>
  <si>
    <r>
      <t>h</t>
    </r>
    <r>
      <rPr>
        <b/>
        <vertAlign val="subscript"/>
        <sz val="12"/>
        <rFont val="Arial"/>
        <family val="2"/>
        <charset val="238"/>
      </rPr>
      <t>k1</t>
    </r>
  </si>
  <si>
    <r>
      <t>h</t>
    </r>
    <r>
      <rPr>
        <b/>
        <vertAlign val="subscript"/>
        <sz val="12"/>
        <rFont val="Arial"/>
        <family val="2"/>
        <charset val="238"/>
      </rPr>
      <t>k2</t>
    </r>
  </si>
  <si>
    <r>
      <t>G</t>
    </r>
    <r>
      <rPr>
        <b/>
        <vertAlign val="subscript"/>
        <sz val="12"/>
        <rFont val="Arial CE"/>
        <charset val="238"/>
      </rPr>
      <t>T2,m</t>
    </r>
  </si>
  <si>
    <r>
      <t>Q</t>
    </r>
    <r>
      <rPr>
        <b/>
        <vertAlign val="subscript"/>
        <sz val="12"/>
        <rFont val="Arial CE"/>
        <charset val="238"/>
      </rPr>
      <t>k1,u</t>
    </r>
  </si>
  <si>
    <r>
      <t>Q</t>
    </r>
    <r>
      <rPr>
        <b/>
        <vertAlign val="subscript"/>
        <sz val="12"/>
        <rFont val="Arial CE"/>
        <charset val="238"/>
      </rPr>
      <t>k2,u</t>
    </r>
  </si>
  <si>
    <r>
      <t>G</t>
    </r>
    <r>
      <rPr>
        <b/>
        <vertAlign val="subscript"/>
        <sz val="12"/>
        <rFont val="Arial CE"/>
        <charset val="238"/>
      </rPr>
      <t>m</t>
    </r>
  </si>
  <si>
    <r>
      <t>H</t>
    </r>
    <r>
      <rPr>
        <b/>
        <vertAlign val="subscript"/>
        <sz val="12"/>
        <rFont val="Arial CE"/>
        <charset val="238"/>
      </rPr>
      <t>T1,měs</t>
    </r>
  </si>
  <si>
    <r>
      <t>H</t>
    </r>
    <r>
      <rPr>
        <b/>
        <vertAlign val="subscript"/>
        <sz val="12"/>
        <rFont val="Arial CE"/>
        <charset val="238"/>
      </rPr>
      <t>T2,měs</t>
    </r>
  </si>
  <si>
    <t>Koef_1</t>
  </si>
  <si>
    <t>0°</t>
  </si>
  <si>
    <t>15°</t>
  </si>
  <si>
    <t>30°</t>
  </si>
  <si>
    <t>45°</t>
  </si>
  <si>
    <t>60°</t>
  </si>
  <si>
    <t>75°</t>
  </si>
  <si>
    <t>90°</t>
  </si>
  <si>
    <t>Koef_2</t>
  </si>
  <si>
    <t>Celkem navržená apertura systému</t>
  </si>
  <si>
    <t xml:space="preserve">l </t>
  </si>
  <si>
    <r>
      <t xml:space="preserve">Vytápění objektu </t>
    </r>
    <r>
      <rPr>
        <b/>
        <sz val="8"/>
        <rFont val="Arial CE"/>
        <charset val="238"/>
      </rPr>
      <t>(vyplňuje se pouze při žádosti na RD v oblasti podpory SOL+ - Solární systém pro přípravu teplé vody a přitápění)</t>
    </r>
  </si>
  <si>
    <r>
      <rPr>
        <b/>
        <sz val="16"/>
        <rFont val="Calibri"/>
        <family val="2"/>
        <charset val="238"/>
        <scheme val="minor"/>
      </rPr>
      <t>Bilance solárních termických systémů pro potřeby programu Nová zelená úsporám v rámci Modernizačního fondu</t>
    </r>
    <r>
      <rPr>
        <sz val="12"/>
        <rFont val="Arial Black"/>
        <family val="2"/>
        <charset val="238"/>
      </rPr>
      <t xml:space="preserve">
</t>
    </r>
    <r>
      <rPr>
        <b/>
        <sz val="12"/>
        <rFont val="Calibri"/>
        <family val="2"/>
        <charset val="238"/>
        <scheme val="minor"/>
      </rPr>
      <t>Rodinné a bytové domy, Oblast C.2: SOL a SOL+ (Instalace solárních termických systémů)</t>
    </r>
  </si>
  <si>
    <r>
      <rPr>
        <b/>
        <sz val="20"/>
        <color rgb="FFB5CD00"/>
        <rFont val="Arial Black"/>
        <family val="2"/>
        <charset val="238"/>
      </rPr>
      <t>C.2: 
SOL, SOL+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Verze NZÚ – ModF 1.0 
(platné od 1. února 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</si>
</sst>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62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Symbol"/>
      <family val="1"/>
      <charset val="2"/>
    </font>
    <font>
      <sz val="10"/>
      <name val="Arial"/>
      <family val="2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vertAlign val="subscript"/>
      <sz val="10"/>
      <name val="Arial CE"/>
      <charset val="238"/>
    </font>
    <font>
      <vertAlign val="superscript"/>
      <sz val="10"/>
      <name val="Arial CE"/>
      <charset val="238"/>
    </font>
    <font>
      <i/>
      <sz val="10"/>
      <name val="Arial CE"/>
      <charset val="238"/>
    </font>
    <font>
      <b/>
      <sz val="10"/>
      <name val="Arial CE"/>
    </font>
    <font>
      <sz val="8"/>
      <name val="Arial"/>
      <family val="2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i/>
      <sz val="12"/>
      <name val="Arial CE"/>
      <charset val="238"/>
    </font>
    <font>
      <b/>
      <i/>
      <sz val="12"/>
      <name val="Symbol"/>
      <family val="1"/>
      <charset val="2"/>
    </font>
    <font>
      <b/>
      <i/>
      <sz val="12"/>
      <name val="Arial CE"/>
    </font>
    <font>
      <b/>
      <sz val="12"/>
      <name val="Symbol"/>
      <family val="1"/>
      <charset val="2"/>
    </font>
    <font>
      <b/>
      <vertAlign val="superscript"/>
      <sz val="12"/>
      <name val="Arial CE"/>
      <charset val="238"/>
    </font>
    <font>
      <b/>
      <sz val="12"/>
      <name val="Arial CE"/>
    </font>
    <font>
      <b/>
      <vertAlign val="subscript"/>
      <sz val="12"/>
      <name val="Arial CE"/>
    </font>
    <font>
      <b/>
      <vertAlign val="superscript"/>
      <sz val="12"/>
      <name val="Arial CE"/>
    </font>
    <font>
      <sz val="10"/>
      <name val="Arial CE"/>
    </font>
    <font>
      <b/>
      <vertAlign val="subscript"/>
      <sz val="12"/>
      <name val="Arial CE"/>
      <charset val="238"/>
    </font>
    <font>
      <b/>
      <vertAlign val="subscript"/>
      <sz val="12"/>
      <name val="Arial"/>
      <family val="2"/>
      <charset val="238"/>
    </font>
    <font>
      <b/>
      <sz val="10"/>
      <color indexed="10"/>
      <name val="Arial CE"/>
      <charset val="238"/>
    </font>
    <font>
      <b/>
      <sz val="12"/>
      <color indexed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i/>
      <sz val="11"/>
      <name val="Arial CE"/>
      <charset val="238"/>
    </font>
    <font>
      <b/>
      <vertAlign val="subscript"/>
      <sz val="11"/>
      <name val="Arial CE"/>
      <charset val="238"/>
    </font>
    <font>
      <vertAlign val="subscript"/>
      <sz val="11"/>
      <name val="Arial CE"/>
      <charset val="238"/>
    </font>
    <font>
      <sz val="12"/>
      <color indexed="17"/>
      <name val="Arial Black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9"/>
      <name val="Arial Narrow"/>
      <family val="2"/>
      <charset val="238"/>
    </font>
    <font>
      <sz val="10"/>
      <color rgb="FFFF0000"/>
      <name val="Arial CE"/>
      <charset val="238"/>
    </font>
    <font>
      <sz val="12"/>
      <color rgb="FF0070C0"/>
      <name val="Arial Black"/>
      <family val="2"/>
      <charset val="238"/>
    </font>
    <font>
      <sz val="10"/>
      <color rgb="FF2905FF"/>
      <name val="Arial CE"/>
      <charset val="238"/>
    </font>
    <font>
      <sz val="10"/>
      <color rgb="FF2905FF"/>
      <name val="Arial"/>
      <family val="2"/>
      <charset val="238"/>
    </font>
    <font>
      <b/>
      <sz val="9"/>
      <color rgb="FFC0000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color rgb="FFB5CD00"/>
      <name val="Arial Black"/>
      <family val="2"/>
      <charset val="238"/>
    </font>
    <font>
      <sz val="12"/>
      <name val="Arial Black"/>
      <family val="2"/>
      <charset val="238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b/>
      <i/>
      <sz val="9"/>
      <name val="Symbol"/>
      <family val="1"/>
      <charset val="2"/>
    </font>
    <font>
      <sz val="9"/>
      <name val="Arial"/>
      <family val="2"/>
      <charset val="238"/>
    </font>
    <font>
      <i/>
      <sz val="9"/>
      <name val="Symbol"/>
      <family val="1"/>
      <charset val="2"/>
    </font>
    <font>
      <sz val="9"/>
      <name val="Symbol"/>
      <family val="1"/>
      <charset val="2"/>
    </font>
    <font>
      <b/>
      <i/>
      <sz val="9"/>
      <name val="Arial"/>
      <family val="2"/>
      <charset val="238"/>
    </font>
    <font>
      <b/>
      <vertAlign val="subscript"/>
      <sz val="9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</cellStyleXfs>
  <cellXfs count="363">
    <xf numFmtId="0" fontId="0" fillId="0" borderId="0" xfId="0"/>
    <xf numFmtId="0" fontId="0" fillId="0" borderId="7" xfId="0" applyBorder="1"/>
    <xf numFmtId="0" fontId="0" fillId="0" borderId="10" xfId="0" applyBorder="1"/>
    <xf numFmtId="0" fontId="0" fillId="0" borderId="13" xfId="0" applyBorder="1"/>
    <xf numFmtId="0" fontId="0" fillId="0" borderId="8" xfId="0" applyBorder="1"/>
    <xf numFmtId="0" fontId="9" fillId="0" borderId="5" xfId="0" applyFont="1" applyBorder="1"/>
    <xf numFmtId="0" fontId="0" fillId="0" borderId="11" xfId="0" applyBorder="1"/>
    <xf numFmtId="0" fontId="8" fillId="0" borderId="7" xfId="0" applyFont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 vertical="center"/>
    </xf>
    <xf numFmtId="1" fontId="16" fillId="0" borderId="9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/>
    </xf>
    <xf numFmtId="1" fontId="16" fillId="0" borderId="12" xfId="0" applyNumberFormat="1" applyFont="1" applyBorder="1" applyAlignment="1">
      <alignment horizontal="center" vertical="center"/>
    </xf>
    <xf numFmtId="1" fontId="16" fillId="0" borderId="0" xfId="0" applyNumberFormat="1" applyFont="1" applyAlignment="1">
      <alignment horizontal="center"/>
    </xf>
    <xf numFmtId="0" fontId="23" fillId="0" borderId="7" xfId="0" applyFont="1" applyBorder="1"/>
    <xf numFmtId="0" fontId="23" fillId="0" borderId="10" xfId="0" applyFont="1" applyBorder="1"/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1" fontId="0" fillId="0" borderId="0" xfId="0" applyNumberFormat="1" applyAlignment="1" applyProtection="1">
      <alignment horizontal="left" vertical="center"/>
      <protection hidden="1"/>
    </xf>
    <xf numFmtId="1" fontId="0" fillId="0" borderId="0" xfId="0" applyNumberFormat="1" applyAlignment="1" applyProtection="1">
      <alignment horizontal="left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9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/>
      <protection hidden="1"/>
    </xf>
    <xf numFmtId="1" fontId="13" fillId="0" borderId="0" xfId="0" applyNumberFormat="1" applyFont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0" fillId="0" borderId="9" xfId="0" applyBorder="1"/>
    <xf numFmtId="0" fontId="0" fillId="0" borderId="12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0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" fontId="16" fillId="0" borderId="19" xfId="0" applyNumberFormat="1" applyFont="1" applyBorder="1" applyAlignment="1">
      <alignment horizontal="center" vertical="center"/>
    </xf>
    <xf numFmtId="2" fontId="16" fillId="0" borderId="19" xfId="0" applyNumberFormat="1" applyFont="1" applyBorder="1" applyAlignment="1">
      <alignment horizontal="center" vertical="center"/>
    </xf>
    <xf numFmtId="164" fontId="16" fillId="0" borderId="19" xfId="0" applyNumberFormat="1" applyFont="1" applyBorder="1" applyAlignment="1">
      <alignment horizontal="center" vertical="center"/>
    </xf>
    <xf numFmtId="1" fontId="16" fillId="0" borderId="19" xfId="0" applyNumberFormat="1" applyFont="1" applyBorder="1" applyAlignment="1">
      <alignment horizontal="center"/>
    </xf>
    <xf numFmtId="164" fontId="16" fillId="0" borderId="2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1" fontId="23" fillId="0" borderId="2" xfId="0" applyNumberFormat="1" applyFont="1" applyBorder="1" applyAlignment="1">
      <alignment horizontal="center"/>
    </xf>
    <xf numFmtId="0" fontId="29" fillId="0" borderId="0" xfId="0" applyFont="1" applyProtection="1">
      <protection hidden="1"/>
    </xf>
    <xf numFmtId="49" fontId="0" fillId="0" borderId="0" xfId="0" applyNumberFormat="1" applyProtection="1">
      <protection hidden="1"/>
    </xf>
    <xf numFmtId="0" fontId="17" fillId="0" borderId="5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32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2" fontId="31" fillId="0" borderId="9" xfId="0" applyNumberFormat="1" applyFont="1" applyBorder="1" applyAlignment="1">
      <alignment horizontal="center"/>
    </xf>
    <xf numFmtId="0" fontId="33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" fontId="23" fillId="0" borderId="23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7" fillId="0" borderId="0" xfId="0" applyFont="1" applyAlignment="1">
      <alignment horizontal="center"/>
    </xf>
    <xf numFmtId="1" fontId="23" fillId="0" borderId="0" xfId="0" applyNumberFormat="1" applyFont="1" applyAlignment="1">
      <alignment horizontal="right"/>
    </xf>
    <xf numFmtId="0" fontId="23" fillId="0" borderId="0" xfId="0" applyFont="1"/>
    <xf numFmtId="0" fontId="31" fillId="0" borderId="9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5" fillId="0" borderId="0" xfId="0" applyFont="1"/>
    <xf numFmtId="0" fontId="0" fillId="0" borderId="0" xfId="0" applyAlignment="1" applyProtection="1">
      <alignment horizontal="right"/>
      <protection hidden="1"/>
    </xf>
    <xf numFmtId="0" fontId="0" fillId="0" borderId="15" xfId="0" applyBorder="1" applyAlignment="1" applyProtection="1">
      <alignment horizontal="left"/>
      <protection locked="0"/>
    </xf>
    <xf numFmtId="0" fontId="36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23" fillId="0" borderId="0" xfId="0" applyNumberFormat="1" applyFont="1" applyAlignment="1">
      <alignment horizontal="center"/>
    </xf>
    <xf numFmtId="0" fontId="7" fillId="0" borderId="0" xfId="0" applyFont="1" applyAlignment="1" applyProtection="1">
      <alignment horizontal="right" vertical="center"/>
      <protection hidden="1"/>
    </xf>
    <xf numFmtId="1" fontId="0" fillId="0" borderId="24" xfId="0" applyNumberFormat="1" applyBorder="1" applyProtection="1">
      <protection hidden="1"/>
    </xf>
    <xf numFmtId="1" fontId="0" fillId="0" borderId="25" xfId="0" applyNumberFormat="1" applyBorder="1" applyProtection="1">
      <protection hidden="1"/>
    </xf>
    <xf numFmtId="1" fontId="0" fillId="0" borderId="26" xfId="0" applyNumberFormat="1" applyBorder="1" applyProtection="1">
      <protection hidden="1"/>
    </xf>
    <xf numFmtId="0" fontId="36" fillId="0" borderId="0" xfId="0" applyFont="1" applyAlignment="1" applyProtection="1">
      <alignment vertical="center" wrapText="1"/>
      <protection hidden="1"/>
    </xf>
    <xf numFmtId="0" fontId="0" fillId="0" borderId="28" xfId="0" applyBorder="1" applyAlignment="1" applyProtection="1">
      <alignment vertical="center"/>
      <protection hidden="1"/>
    </xf>
    <xf numFmtId="0" fontId="0" fillId="0" borderId="28" xfId="0" applyBorder="1" applyProtection="1">
      <protection hidden="1"/>
    </xf>
    <xf numFmtId="0" fontId="0" fillId="0" borderId="28" xfId="0" applyBorder="1" applyAlignment="1" applyProtection="1">
      <alignment horizontal="left"/>
      <protection hidden="1"/>
    </xf>
    <xf numFmtId="164" fontId="0" fillId="0" borderId="29" xfId="0" applyNumberFormat="1" applyBorder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horizontal="right" vertical="center"/>
      <protection hidden="1"/>
    </xf>
    <xf numFmtId="0" fontId="0" fillId="0" borderId="27" xfId="0" applyBorder="1" applyAlignment="1" applyProtection="1">
      <alignment horizontal="left" vertical="center"/>
      <protection hidden="1"/>
    </xf>
    <xf numFmtId="0" fontId="7" fillId="0" borderId="28" xfId="0" applyFont="1" applyBorder="1" applyAlignment="1" applyProtection="1">
      <alignment horizontal="left" vertical="center"/>
      <protection hidden="1"/>
    </xf>
    <xf numFmtId="0" fontId="7" fillId="0" borderId="28" xfId="0" applyFont="1" applyBorder="1" applyAlignment="1" applyProtection="1">
      <alignment vertical="center"/>
      <protection hidden="1"/>
    </xf>
    <xf numFmtId="0" fontId="0" fillId="0" borderId="29" xfId="0" applyBorder="1" applyAlignment="1" applyProtection="1">
      <alignment vertical="center"/>
      <protection hidden="1"/>
    </xf>
    <xf numFmtId="0" fontId="0" fillId="0" borderId="30" xfId="0" applyBorder="1" applyAlignment="1" applyProtection="1">
      <alignment horizontal="left"/>
      <protection hidden="1"/>
    </xf>
    <xf numFmtId="0" fontId="0" fillId="0" borderId="31" xfId="0" applyBorder="1" applyAlignment="1" applyProtection="1">
      <alignment horizontal="left" vertical="center"/>
      <protection hidden="1"/>
    </xf>
    <xf numFmtId="0" fontId="7" fillId="0" borderId="30" xfId="0" applyFont="1" applyBorder="1" applyAlignment="1" applyProtection="1">
      <alignment horizontal="left" vertical="center"/>
      <protection hidden="1"/>
    </xf>
    <xf numFmtId="0" fontId="7" fillId="0" borderId="30" xfId="0" applyFont="1" applyBorder="1" applyAlignment="1" applyProtection="1">
      <alignment vertical="center"/>
      <protection hidden="1"/>
    </xf>
    <xf numFmtId="0" fontId="0" fillId="0" borderId="32" xfId="0" applyBorder="1" applyAlignment="1" applyProtection="1">
      <alignment vertical="center"/>
      <protection hidden="1"/>
    </xf>
    <xf numFmtId="0" fontId="0" fillId="0" borderId="30" xfId="0" applyBorder="1" applyAlignment="1" applyProtection="1">
      <alignment vertical="center"/>
      <protection hidden="1"/>
    </xf>
    <xf numFmtId="0" fontId="0" fillId="0" borderId="30" xfId="0" applyBorder="1" applyProtection="1">
      <protection hidden="1"/>
    </xf>
    <xf numFmtId="164" fontId="0" fillId="0" borderId="32" xfId="0" applyNumberFormat="1" applyBorder="1" applyAlignment="1" applyProtection="1">
      <alignment horizontal="left" vertical="center"/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1" fontId="0" fillId="0" borderId="33" xfId="0" applyNumberFormat="1" applyBorder="1" applyProtection="1">
      <protection hidden="1"/>
    </xf>
    <xf numFmtId="1" fontId="0" fillId="0" borderId="34" xfId="0" applyNumberFormat="1" applyBorder="1" applyProtection="1">
      <protection hidden="1"/>
    </xf>
    <xf numFmtId="0" fontId="0" fillId="0" borderId="35" xfId="0" applyBorder="1" applyProtection="1">
      <protection hidden="1"/>
    </xf>
    <xf numFmtId="0" fontId="37" fillId="0" borderId="0" xfId="0" applyFont="1" applyAlignment="1" applyProtection="1">
      <alignment vertical="center"/>
      <protection hidden="1"/>
    </xf>
    <xf numFmtId="0" fontId="0" fillId="0" borderId="31" xfId="0" applyBorder="1" applyProtection="1">
      <protection locked="0" hidden="1"/>
    </xf>
    <xf numFmtId="0" fontId="9" fillId="0" borderId="18" xfId="0" applyFont="1" applyBorder="1"/>
    <xf numFmtId="0" fontId="0" fillId="0" borderId="20" xfId="0" applyBorder="1"/>
    <xf numFmtId="0" fontId="0" fillId="0" borderId="18" xfId="0" applyBorder="1"/>
    <xf numFmtId="0" fontId="0" fillId="0" borderId="37" xfId="0" applyBorder="1"/>
    <xf numFmtId="0" fontId="0" fillId="0" borderId="38" xfId="0" applyBorder="1" applyAlignment="1" applyProtection="1">
      <alignment horizontal="left"/>
      <protection hidden="1"/>
    </xf>
    <xf numFmtId="0" fontId="0" fillId="0" borderId="39" xfId="0" applyBorder="1" applyAlignment="1" applyProtection="1">
      <alignment horizontal="left" vertical="center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0" fillId="0" borderId="39" xfId="0" applyBorder="1" applyProtection="1">
      <protection locked="0" hidden="1"/>
    </xf>
    <xf numFmtId="0" fontId="7" fillId="0" borderId="38" xfId="0" applyFont="1" applyBorder="1" applyAlignment="1" applyProtection="1">
      <alignment vertical="center"/>
      <protection hidden="1"/>
    </xf>
    <xf numFmtId="0" fontId="0" fillId="0" borderId="40" xfId="0" applyBorder="1" applyAlignment="1" applyProtection="1">
      <alignment vertical="center"/>
      <protection hidden="1"/>
    </xf>
    <xf numFmtId="0" fontId="0" fillId="0" borderId="43" xfId="0" applyBorder="1" applyProtection="1">
      <protection hidden="1"/>
    </xf>
    <xf numFmtId="0" fontId="0" fillId="0" borderId="45" xfId="0" applyBorder="1" applyAlignment="1" applyProtection="1">
      <alignment horizontal="left"/>
      <protection hidden="1"/>
    </xf>
    <xf numFmtId="0" fontId="26" fillId="0" borderId="44" xfId="0" applyFont="1" applyBorder="1" applyAlignment="1" applyProtection="1">
      <alignment horizontal="left" vertical="center"/>
      <protection hidden="1"/>
    </xf>
    <xf numFmtId="0" fontId="12" fillId="0" borderId="46" xfId="0" applyFont="1" applyBorder="1" applyAlignment="1" applyProtection="1">
      <alignment vertical="center"/>
      <protection hidden="1"/>
    </xf>
    <xf numFmtId="0" fontId="7" fillId="0" borderId="46" xfId="0" applyFont="1" applyBorder="1" applyAlignment="1" applyProtection="1">
      <alignment vertical="center"/>
      <protection hidden="1"/>
    </xf>
    <xf numFmtId="0" fontId="0" fillId="0" borderId="43" xfId="0" applyBorder="1" applyAlignment="1" applyProtection="1">
      <alignment horizontal="left"/>
      <protection hidden="1"/>
    </xf>
    <xf numFmtId="0" fontId="26" fillId="0" borderId="47" xfId="0" applyFont="1" applyBorder="1" applyAlignment="1" applyProtection="1">
      <alignment horizontal="left" vertical="center"/>
      <protection hidden="1"/>
    </xf>
    <xf numFmtId="0" fontId="12" fillId="0" borderId="42" xfId="0" applyFont="1" applyBorder="1" applyAlignment="1" applyProtection="1">
      <alignment vertical="center"/>
      <protection hidden="1"/>
    </xf>
    <xf numFmtId="0" fontId="7" fillId="0" borderId="42" xfId="0" applyFont="1" applyBorder="1" applyAlignment="1" applyProtection="1">
      <alignment vertical="center"/>
      <protection hidden="1"/>
    </xf>
    <xf numFmtId="0" fontId="0" fillId="0" borderId="25" xfId="0" applyBorder="1" applyAlignment="1" applyProtection="1">
      <alignment horizontal="right" vertical="center"/>
      <protection hidden="1"/>
    </xf>
    <xf numFmtId="0" fontId="40" fillId="0" borderId="30" xfId="0" applyFont="1" applyBorder="1" applyAlignment="1" applyProtection="1">
      <alignment horizontal="left" vertical="center"/>
      <protection hidden="1"/>
    </xf>
    <xf numFmtId="0" fontId="40" fillId="0" borderId="38" xfId="0" applyFont="1" applyBorder="1" applyAlignment="1" applyProtection="1">
      <alignment horizontal="left" vertical="center"/>
      <protection hidden="1"/>
    </xf>
    <xf numFmtId="0" fontId="40" fillId="0" borderId="28" xfId="0" applyFont="1" applyBorder="1" applyAlignment="1" applyProtection="1">
      <alignment horizontal="left" vertical="center"/>
      <protection hidden="1"/>
    </xf>
    <xf numFmtId="0" fontId="0" fillId="0" borderId="26" xfId="0" applyBorder="1" applyAlignment="1" applyProtection="1">
      <alignment vertical="center"/>
      <protection hidden="1"/>
    </xf>
    <xf numFmtId="0" fontId="0" fillId="0" borderId="48" xfId="0" applyBorder="1" applyAlignment="1" applyProtection="1">
      <alignment horizontal="left" vertical="top"/>
      <protection hidden="1"/>
    </xf>
    <xf numFmtId="0" fontId="0" fillId="2" borderId="30" xfId="0" applyFill="1" applyBorder="1" applyAlignment="1" applyProtection="1">
      <alignment horizontal="left" vertical="center"/>
      <protection locked="0" hidden="1"/>
    </xf>
    <xf numFmtId="0" fontId="0" fillId="0" borderId="24" xfId="0" applyBorder="1" applyProtection="1">
      <protection locked="0" hidden="1"/>
    </xf>
    <xf numFmtId="0" fontId="0" fillId="0" borderId="49" xfId="0" applyBorder="1" applyProtection="1">
      <protection locked="0" hidden="1"/>
    </xf>
    <xf numFmtId="0" fontId="0" fillId="0" borderId="24" xfId="0" applyBorder="1" applyAlignment="1" applyProtection="1">
      <alignment vertical="center"/>
      <protection locked="0" hidden="1"/>
    </xf>
    <xf numFmtId="0" fontId="7" fillId="0" borderId="27" xfId="0" applyFont="1" applyBorder="1" applyAlignment="1" applyProtection="1">
      <alignment vertical="center"/>
      <protection locked="0" hidden="1"/>
    </xf>
    <xf numFmtId="0" fontId="0" fillId="2" borderId="25" xfId="0" applyFill="1" applyBorder="1" applyAlignment="1" applyProtection="1">
      <alignment vertical="center"/>
      <protection locked="0" hidden="1"/>
    </xf>
    <xf numFmtId="49" fontId="0" fillId="0" borderId="0" xfId="0" applyNumberFormat="1" applyAlignment="1">
      <alignment horizontal="right"/>
    </xf>
    <xf numFmtId="0" fontId="17" fillId="0" borderId="0" xfId="0" applyFont="1"/>
    <xf numFmtId="1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16" fillId="3" borderId="16" xfId="0" applyFont="1" applyFill="1" applyBorder="1" applyAlignment="1" applyProtection="1">
      <alignment horizontal="right"/>
      <protection locked="0"/>
    </xf>
    <xf numFmtId="0" fontId="16" fillId="3" borderId="17" xfId="0" applyFont="1" applyFill="1" applyBorder="1" applyAlignment="1" applyProtection="1">
      <alignment horizontal="right"/>
      <protection locked="0"/>
    </xf>
    <xf numFmtId="0" fontId="0" fillId="0" borderId="26" xfId="0" applyBorder="1" applyProtection="1">
      <protection hidden="1"/>
    </xf>
    <xf numFmtId="0" fontId="0" fillId="0" borderId="40" xfId="0" applyBorder="1" applyProtection="1">
      <protection hidden="1"/>
    </xf>
    <xf numFmtId="0" fontId="0" fillId="0" borderId="29" xfId="0" applyBorder="1" applyProtection="1">
      <protection hidden="1"/>
    </xf>
    <xf numFmtId="0" fontId="0" fillId="0" borderId="32" xfId="0" applyBorder="1" applyAlignment="1" applyProtection="1">
      <alignment horizontal="left" vertical="center"/>
      <protection hidden="1"/>
    </xf>
    <xf numFmtId="0" fontId="0" fillId="0" borderId="40" xfId="0" applyBorder="1" applyAlignment="1" applyProtection="1">
      <alignment horizontal="left" vertical="center"/>
      <protection hidden="1"/>
    </xf>
    <xf numFmtId="0" fontId="0" fillId="0" borderId="29" xfId="0" applyBorder="1" applyAlignment="1" applyProtection="1">
      <alignment horizontal="left" vertical="center"/>
      <protection hidden="1"/>
    </xf>
    <xf numFmtId="1" fontId="16" fillId="0" borderId="0" xfId="0" applyNumberFormat="1" applyFont="1" applyAlignment="1" applyProtection="1">
      <alignment horizontal="center"/>
      <protection hidden="1"/>
    </xf>
    <xf numFmtId="164" fontId="38" fillId="0" borderId="9" xfId="1" applyNumberFormat="1" applyFont="1" applyBorder="1" applyAlignment="1">
      <alignment horizontal="center"/>
    </xf>
    <xf numFmtId="164" fontId="38" fillId="0" borderId="12" xfId="1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23" fillId="0" borderId="13" xfId="0" applyFont="1" applyBorder="1"/>
    <xf numFmtId="0" fontId="0" fillId="0" borderId="0" xfId="0" applyAlignment="1" applyProtection="1">
      <alignment horizontal="center"/>
      <protection hidden="1"/>
    </xf>
    <xf numFmtId="165" fontId="7" fillId="0" borderId="25" xfId="0" applyNumberFormat="1" applyFont="1" applyBorder="1" applyAlignment="1" applyProtection="1">
      <alignment horizontal="right" vertical="center"/>
      <protection hidden="1"/>
    </xf>
    <xf numFmtId="165" fontId="7" fillId="0" borderId="38" xfId="0" applyNumberFormat="1" applyFont="1" applyBorder="1" applyAlignment="1" applyProtection="1">
      <alignment horizontal="left" vertical="center"/>
      <protection hidden="1"/>
    </xf>
    <xf numFmtId="0" fontId="41" fillId="0" borderId="0" xfId="0" applyFont="1" applyAlignment="1" applyProtection="1">
      <alignment vertical="center"/>
      <protection hidden="1"/>
    </xf>
    <xf numFmtId="164" fontId="23" fillId="0" borderId="6" xfId="0" applyNumberFormat="1" applyFont="1" applyBorder="1" applyAlignment="1">
      <alignment horizontal="right"/>
    </xf>
    <xf numFmtId="164" fontId="17" fillId="0" borderId="12" xfId="0" applyNumberFormat="1" applyFont="1" applyBorder="1"/>
    <xf numFmtId="164" fontId="23" fillId="0" borderId="9" xfId="0" applyNumberFormat="1" applyFont="1" applyBorder="1" applyAlignment="1">
      <alignment horizontal="right"/>
    </xf>
    <xf numFmtId="0" fontId="0" fillId="0" borderId="0" xfId="0" quotePrefix="1" applyAlignment="1" applyProtection="1">
      <alignment horizontal="right"/>
      <protection hidden="1"/>
    </xf>
    <xf numFmtId="0" fontId="42" fillId="4" borderId="25" xfId="0" applyFont="1" applyFill="1" applyBorder="1" applyAlignment="1" applyProtection="1">
      <alignment horizontal="right" vertical="center"/>
      <protection locked="0" hidden="1"/>
    </xf>
    <xf numFmtId="0" fontId="0" fillId="0" borderId="47" xfId="0" applyBorder="1" applyProtection="1">
      <protection hidden="1"/>
    </xf>
    <xf numFmtId="0" fontId="0" fillId="0" borderId="61" xfId="0" applyBorder="1" applyProtection="1">
      <protection hidden="1"/>
    </xf>
    <xf numFmtId="0" fontId="0" fillId="0" borderId="44" xfId="0" applyBorder="1" applyAlignment="1" applyProtection="1">
      <alignment horizontal="left"/>
      <protection hidden="1"/>
    </xf>
    <xf numFmtId="0" fontId="0" fillId="0" borderId="65" xfId="0" applyBorder="1" applyAlignment="1" applyProtection="1">
      <alignment horizontal="left"/>
      <protection hidden="1"/>
    </xf>
    <xf numFmtId="0" fontId="0" fillId="0" borderId="66" xfId="0" applyBorder="1" applyAlignment="1" applyProtection="1">
      <alignment horizontal="left"/>
      <protection hidden="1"/>
    </xf>
    <xf numFmtId="0" fontId="0" fillId="0" borderId="68" xfId="0" applyBorder="1" applyProtection="1">
      <protection hidden="1"/>
    </xf>
    <xf numFmtId="2" fontId="0" fillId="0" borderId="67" xfId="0" applyNumberFormat="1" applyBorder="1" applyProtection="1">
      <protection hidden="1"/>
    </xf>
    <xf numFmtId="0" fontId="0" fillId="0" borderId="42" xfId="0" applyBorder="1" applyAlignment="1" applyProtection="1">
      <alignment horizontal="left" vertical="center"/>
      <protection hidden="1"/>
    </xf>
    <xf numFmtId="0" fontId="12" fillId="0" borderId="42" xfId="0" applyFont="1" applyBorder="1" applyAlignment="1" applyProtection="1">
      <alignment horizontal="left" vertical="center"/>
      <protection hidden="1"/>
    </xf>
    <xf numFmtId="0" fontId="12" fillId="0" borderId="46" xfId="0" applyFont="1" applyBorder="1" applyAlignment="1" applyProtection="1">
      <alignment horizontal="left" vertical="center"/>
      <protection hidden="1"/>
    </xf>
    <xf numFmtId="0" fontId="0" fillId="0" borderId="47" xfId="0" applyBorder="1" applyAlignment="1" applyProtection="1">
      <alignment horizontal="left"/>
      <protection hidden="1"/>
    </xf>
    <xf numFmtId="0" fontId="0" fillId="0" borderId="50" xfId="0" applyBorder="1" applyAlignment="1" applyProtection="1">
      <alignment horizont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42" fillId="4" borderId="25" xfId="0" applyFont="1" applyFill="1" applyBorder="1" applyAlignment="1" applyProtection="1">
      <alignment horizontal="right"/>
      <protection locked="0" hidden="1"/>
    </xf>
    <xf numFmtId="0" fontId="43" fillId="4" borderId="26" xfId="0" applyFont="1" applyFill="1" applyBorder="1" applyAlignment="1" applyProtection="1">
      <alignment horizontal="right" vertical="center"/>
      <protection locked="0" hidden="1"/>
    </xf>
    <xf numFmtId="0" fontId="42" fillId="4" borderId="25" xfId="0" applyFont="1" applyFill="1" applyBorder="1" applyAlignment="1" applyProtection="1">
      <alignment vertical="center"/>
      <protection locked="0" hidden="1"/>
    </xf>
    <xf numFmtId="0" fontId="7" fillId="0" borderId="30" xfId="0" applyFont="1" applyBorder="1" applyAlignment="1" applyProtection="1">
      <alignment horizontal="left" vertical="center"/>
      <protection locked="0" hidden="1"/>
    </xf>
    <xf numFmtId="0" fontId="7" fillId="0" borderId="38" xfId="0" applyFont="1" applyBorder="1" applyAlignment="1" applyProtection="1">
      <alignment horizontal="left" vertical="center"/>
      <protection locked="0" hidden="1"/>
    </xf>
    <xf numFmtId="0" fontId="7" fillId="0" borderId="28" xfId="0" applyFont="1" applyBorder="1" applyAlignment="1" applyProtection="1">
      <alignment horizontal="left" vertical="center"/>
      <protection locked="0" hidden="1"/>
    </xf>
    <xf numFmtId="0" fontId="7" fillId="0" borderId="25" xfId="0" applyFont="1" applyBorder="1" applyAlignment="1" applyProtection="1">
      <alignment horizontal="right" vertical="center"/>
      <protection locked="0" hidden="1"/>
    </xf>
    <xf numFmtId="0" fontId="0" fillId="2" borderId="38" xfId="0" applyFill="1" applyBorder="1" applyAlignment="1" applyProtection="1">
      <alignment horizontal="left" vertical="center"/>
      <protection locked="0" hidden="1"/>
    </xf>
    <xf numFmtId="0" fontId="0" fillId="2" borderId="28" xfId="0" applyFill="1" applyBorder="1" applyAlignment="1" applyProtection="1">
      <alignment horizontal="left" vertical="center"/>
      <protection locked="0" hidden="1"/>
    </xf>
    <xf numFmtId="0" fontId="42" fillId="4" borderId="32" xfId="0" applyFont="1" applyFill="1" applyBorder="1" applyAlignment="1" applyProtection="1">
      <alignment horizontal="left"/>
      <protection locked="0" hidden="1"/>
    </xf>
    <xf numFmtId="0" fontId="50" fillId="0" borderId="0" xfId="0" applyFont="1" applyAlignment="1">
      <alignment vertical="center"/>
    </xf>
    <xf numFmtId="0" fontId="0" fillId="0" borderId="69" xfId="0" applyBorder="1" applyAlignment="1" applyProtection="1">
      <alignment horizontal="left" vertical="center"/>
      <protection hidden="1"/>
    </xf>
    <xf numFmtId="0" fontId="9" fillId="0" borderId="0" xfId="0" applyFont="1"/>
    <xf numFmtId="0" fontId="0" fillId="0" borderId="38" xfId="0" applyBorder="1" applyProtection="1">
      <protection hidden="1"/>
    </xf>
    <xf numFmtId="0" fontId="0" fillId="0" borderId="39" xfId="0" applyBorder="1" applyProtection="1">
      <protection hidden="1"/>
    </xf>
    <xf numFmtId="0" fontId="42" fillId="4" borderId="72" xfId="0" applyFont="1" applyFill="1" applyBorder="1" applyAlignment="1" applyProtection="1">
      <alignment vertical="center"/>
      <protection locked="0" hidden="1"/>
    </xf>
    <xf numFmtId="166" fontId="42" fillId="4" borderId="72" xfId="0" applyNumberFormat="1" applyFont="1" applyFill="1" applyBorder="1" applyAlignment="1" applyProtection="1">
      <alignment vertical="center"/>
      <protection locked="0" hidden="1"/>
    </xf>
    <xf numFmtId="2" fontId="0" fillId="0" borderId="72" xfId="0" applyNumberFormat="1" applyBorder="1" applyAlignment="1" applyProtection="1">
      <alignment vertical="center"/>
      <protection hidden="1"/>
    </xf>
    <xf numFmtId="164" fontId="7" fillId="0" borderId="72" xfId="0" applyNumberFormat="1" applyFont="1" applyBorder="1" applyAlignment="1" applyProtection="1">
      <alignment horizontal="right" vertical="center"/>
      <protection hidden="1"/>
    </xf>
    <xf numFmtId="0" fontId="0" fillId="0" borderId="72" xfId="0" applyBorder="1" applyAlignment="1" applyProtection="1">
      <alignment horizontal="left"/>
      <protection locked="0" hidden="1"/>
    </xf>
    <xf numFmtId="2" fontId="0" fillId="0" borderId="73" xfId="0" applyNumberFormat="1" applyBorder="1" applyAlignment="1" applyProtection="1">
      <alignment horizontal="left" vertical="center"/>
      <protection locked="0" hidden="1"/>
    </xf>
    <xf numFmtId="0" fontId="0" fillId="0" borderId="38" xfId="0" applyBorder="1" applyAlignment="1" applyProtection="1">
      <alignment horizontal="left" vertical="center"/>
      <protection hidden="1"/>
    </xf>
    <xf numFmtId="0" fontId="0" fillId="0" borderId="48" xfId="0" applyBorder="1" applyAlignment="1" applyProtection="1">
      <alignment vertical="center"/>
      <protection hidden="1"/>
    </xf>
    <xf numFmtId="0" fontId="0" fillId="0" borderId="63" xfId="0" applyBorder="1" applyAlignment="1" applyProtection="1">
      <alignment vertical="center"/>
      <protection hidden="1"/>
    </xf>
    <xf numFmtId="0" fontId="29" fillId="0" borderId="75" xfId="0" applyFont="1" applyBorder="1" applyAlignment="1" applyProtection="1">
      <alignment horizontal="left" vertical="center"/>
      <protection hidden="1"/>
    </xf>
    <xf numFmtId="0" fontId="29" fillId="0" borderId="76" xfId="0" applyFont="1" applyBorder="1" applyAlignment="1" applyProtection="1">
      <alignment horizontal="left" vertical="center"/>
      <protection hidden="1"/>
    </xf>
    <xf numFmtId="2" fontId="0" fillId="0" borderId="1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16" fillId="0" borderId="19" xfId="0" applyNumberFormat="1" applyFont="1" applyBorder="1" applyAlignment="1">
      <alignment horizontal="center"/>
    </xf>
    <xf numFmtId="164" fontId="16" fillId="0" borderId="20" xfId="0" applyNumberFormat="1" applyFont="1" applyBorder="1" applyAlignment="1">
      <alignment horizontal="center"/>
    </xf>
    <xf numFmtId="164" fontId="16" fillId="0" borderId="9" xfId="0" applyNumberFormat="1" applyFont="1" applyBorder="1" applyAlignment="1">
      <alignment horizontal="center"/>
    </xf>
    <xf numFmtId="164" fontId="16" fillId="0" borderId="10" xfId="0" applyNumberFormat="1" applyFont="1" applyBorder="1" applyAlignment="1">
      <alignment horizontal="center"/>
    </xf>
    <xf numFmtId="164" fontId="16" fillId="0" borderId="21" xfId="0" applyNumberFormat="1" applyFont="1" applyBorder="1" applyAlignment="1">
      <alignment horizontal="center"/>
    </xf>
    <xf numFmtId="164" fontId="16" fillId="0" borderId="22" xfId="0" applyNumberFormat="1" applyFont="1" applyBorder="1" applyAlignment="1">
      <alignment horizontal="center"/>
    </xf>
    <xf numFmtId="164" fontId="23" fillId="0" borderId="2" xfId="0" applyNumberFormat="1" applyFont="1" applyBorder="1" applyAlignment="1">
      <alignment horizontal="center"/>
    </xf>
    <xf numFmtId="164" fontId="17" fillId="0" borderId="3" xfId="0" applyNumberFormat="1" applyFont="1" applyBorder="1" applyAlignment="1">
      <alignment horizontal="center" vertical="center"/>
    </xf>
    <xf numFmtId="0" fontId="39" fillId="0" borderId="38" xfId="0" applyFont="1" applyBorder="1" applyAlignment="1" applyProtection="1">
      <alignment horizontal="left"/>
      <protection hidden="1"/>
    </xf>
    <xf numFmtId="0" fontId="39" fillId="0" borderId="28" xfId="0" applyFont="1" applyBorder="1" applyAlignment="1" applyProtection="1">
      <alignment horizontal="left"/>
      <protection hidden="1"/>
    </xf>
    <xf numFmtId="0" fontId="2" fillId="0" borderId="0" xfId="5"/>
    <xf numFmtId="1" fontId="5" fillId="0" borderId="9" xfId="6" applyNumberFormat="1" applyBorder="1" applyAlignment="1" applyProtection="1">
      <alignment horizontal="center"/>
      <protection hidden="1"/>
    </xf>
    <xf numFmtId="0" fontId="5" fillId="0" borderId="0" xfId="6" applyProtection="1">
      <protection hidden="1"/>
    </xf>
    <xf numFmtId="0" fontId="51" fillId="0" borderId="21" xfId="6" applyFont="1" applyBorder="1" applyAlignment="1" applyProtection="1">
      <alignment horizontal="center" vertical="center" wrapText="1"/>
      <protection hidden="1"/>
    </xf>
    <xf numFmtId="1" fontId="5" fillId="0" borderId="0" xfId="6" applyNumberFormat="1" applyProtection="1">
      <protection hidden="1"/>
    </xf>
    <xf numFmtId="164" fontId="51" fillId="0" borderId="9" xfId="6" applyNumberFormat="1" applyFont="1" applyBorder="1" applyAlignment="1" applyProtection="1">
      <alignment horizontal="center" vertical="center" wrapText="1"/>
      <protection hidden="1"/>
    </xf>
    <xf numFmtId="164" fontId="52" fillId="0" borderId="9" xfId="6" applyNumberFormat="1" applyFont="1" applyBorder="1" applyAlignment="1" applyProtection="1">
      <alignment horizontal="center" vertical="center" wrapText="1"/>
      <protection hidden="1"/>
    </xf>
    <xf numFmtId="164" fontId="5" fillId="0" borderId="0" xfId="6" applyNumberFormat="1" applyProtection="1">
      <protection hidden="1"/>
    </xf>
    <xf numFmtId="1" fontId="53" fillId="0" borderId="81" xfId="6" applyNumberFormat="1" applyFont="1" applyBorder="1" applyAlignment="1" applyProtection="1">
      <alignment horizontal="center" vertical="center" wrapText="1"/>
      <protection hidden="1"/>
    </xf>
    <xf numFmtId="1" fontId="53" fillId="0" borderId="82" xfId="6" applyNumberFormat="1" applyFont="1" applyBorder="1" applyAlignment="1" applyProtection="1">
      <alignment horizontal="center" vertical="center" wrapText="1"/>
      <protection hidden="1"/>
    </xf>
    <xf numFmtId="1" fontId="53" fillId="0" borderId="83" xfId="6" applyNumberFormat="1" applyFont="1" applyBorder="1" applyAlignment="1" applyProtection="1">
      <alignment horizontal="center" vertical="center" wrapText="1"/>
      <protection hidden="1"/>
    </xf>
    <xf numFmtId="1" fontId="53" fillId="0" borderId="87" xfId="6" applyNumberFormat="1" applyFont="1" applyBorder="1" applyAlignment="1" applyProtection="1">
      <alignment horizontal="center" vertical="center" wrapText="1"/>
      <protection hidden="1"/>
    </xf>
    <xf numFmtId="1" fontId="53" fillId="0" borderId="88" xfId="6" applyNumberFormat="1" applyFont="1" applyBorder="1" applyAlignment="1" applyProtection="1">
      <alignment horizontal="center" vertical="center" wrapText="1"/>
      <protection hidden="1"/>
    </xf>
    <xf numFmtId="1" fontId="53" fillId="0" borderId="89" xfId="6" applyNumberFormat="1" applyFont="1" applyBorder="1" applyAlignment="1" applyProtection="1">
      <alignment horizontal="center" vertical="center" wrapText="1"/>
      <protection hidden="1"/>
    </xf>
    <xf numFmtId="164" fontId="53" fillId="0" borderId="87" xfId="6" applyNumberFormat="1" applyFont="1" applyBorder="1" applyAlignment="1" applyProtection="1">
      <alignment horizontal="center" vertical="center" wrapText="1"/>
      <protection hidden="1"/>
    </xf>
    <xf numFmtId="164" fontId="53" fillId="0" borderId="88" xfId="6" applyNumberFormat="1" applyFont="1" applyBorder="1" applyAlignment="1" applyProtection="1">
      <alignment horizontal="center" vertical="center" wrapText="1"/>
      <protection hidden="1"/>
    </xf>
    <xf numFmtId="164" fontId="52" fillId="0" borderId="82" xfId="6" applyNumberFormat="1" applyFont="1" applyBorder="1" applyAlignment="1" applyProtection="1">
      <alignment horizontal="center" vertical="center" wrapText="1"/>
      <protection hidden="1"/>
    </xf>
    <xf numFmtId="164" fontId="51" fillId="0" borderId="91" xfId="6" applyNumberFormat="1" applyFont="1" applyBorder="1" applyAlignment="1" applyProtection="1">
      <alignment horizontal="center" vertical="center" wrapText="1"/>
      <protection hidden="1"/>
    </xf>
    <xf numFmtId="164" fontId="53" fillId="0" borderId="81" xfId="6" applyNumberFormat="1" applyFont="1" applyBorder="1" applyAlignment="1" applyProtection="1">
      <alignment horizontal="center" vertical="center" wrapText="1"/>
      <protection hidden="1"/>
    </xf>
    <xf numFmtId="164" fontId="53" fillId="0" borderId="89" xfId="6" applyNumberFormat="1" applyFont="1" applyBorder="1" applyAlignment="1" applyProtection="1">
      <alignment horizontal="center" vertical="center" wrapText="1"/>
      <protection hidden="1"/>
    </xf>
    <xf numFmtId="164" fontId="5" fillId="0" borderId="9" xfId="6" applyNumberFormat="1" applyBorder="1" applyAlignment="1" applyProtection="1">
      <alignment horizontal="center"/>
      <protection hidden="1"/>
    </xf>
    <xf numFmtId="0" fontId="5" fillId="0" borderId="9" xfId="6" applyBorder="1" applyAlignment="1" applyProtection="1">
      <alignment horizontal="center"/>
      <protection hidden="1"/>
    </xf>
    <xf numFmtId="164" fontId="16" fillId="0" borderId="4" xfId="0" applyNumberFormat="1" applyFont="1" applyBorder="1" applyAlignment="1">
      <alignment horizontal="center" vertical="center"/>
    </xf>
    <xf numFmtId="1" fontId="17" fillId="0" borderId="93" xfId="0" applyNumberFormat="1" applyFont="1" applyBorder="1" applyAlignment="1">
      <alignment horizontal="center" vertical="center"/>
    </xf>
    <xf numFmtId="0" fontId="45" fillId="0" borderId="0" xfId="5" applyFont="1"/>
    <xf numFmtId="0" fontId="0" fillId="0" borderId="71" xfId="0" applyBorder="1" applyAlignment="1" applyProtection="1">
      <alignment vertical="center"/>
      <protection locked="0"/>
    </xf>
    <xf numFmtId="0" fontId="42" fillId="4" borderId="64" xfId="0" applyFont="1" applyFill="1" applyBorder="1" applyAlignment="1" applyProtection="1">
      <alignment horizontal="center"/>
      <protection locked="0" hidden="1"/>
    </xf>
    <xf numFmtId="0" fontId="9" fillId="8" borderId="94" xfId="0" applyFont="1" applyFill="1" applyBorder="1" applyProtection="1">
      <protection hidden="1"/>
    </xf>
    <xf numFmtId="0" fontId="9" fillId="8" borderId="95" xfId="0" applyFont="1" applyFill="1" applyBorder="1" applyProtection="1">
      <protection hidden="1"/>
    </xf>
    <xf numFmtId="0" fontId="13" fillId="8" borderId="94" xfId="0" applyFont="1" applyFill="1" applyBorder="1" applyAlignment="1" applyProtection="1">
      <alignment horizontal="left"/>
      <protection hidden="1"/>
    </xf>
    <xf numFmtId="0" fontId="13" fillId="8" borderId="95" xfId="0" applyFont="1" applyFill="1" applyBorder="1" applyAlignment="1" applyProtection="1">
      <alignment horizontal="left"/>
      <protection hidden="1"/>
    </xf>
    <xf numFmtId="0" fontId="26" fillId="8" borderId="95" xfId="0" applyFont="1" applyFill="1" applyBorder="1" applyAlignment="1" applyProtection="1">
      <alignment horizontal="left"/>
      <protection hidden="1"/>
    </xf>
    <xf numFmtId="0" fontId="26" fillId="8" borderId="96" xfId="0" applyFont="1" applyFill="1" applyBorder="1" applyAlignment="1" applyProtection="1">
      <alignment horizontal="left"/>
      <protection hidden="1"/>
    </xf>
    <xf numFmtId="0" fontId="0" fillId="8" borderId="95" xfId="0" applyFill="1" applyBorder="1" applyProtection="1">
      <protection hidden="1"/>
    </xf>
    <xf numFmtId="0" fontId="0" fillId="8" borderId="96" xfId="0" applyFill="1" applyBorder="1" applyProtection="1">
      <protection hidden="1"/>
    </xf>
    <xf numFmtId="0" fontId="9" fillId="8" borderId="94" xfId="0" applyFont="1" applyFill="1" applyBorder="1" applyAlignment="1" applyProtection="1">
      <alignment horizontal="left" vertical="center"/>
      <protection hidden="1"/>
    </xf>
    <xf numFmtId="0" fontId="9" fillId="8" borderId="95" xfId="0" applyFont="1" applyFill="1" applyBorder="1" applyAlignment="1" applyProtection="1">
      <alignment horizontal="left" vertical="center"/>
      <protection hidden="1"/>
    </xf>
    <xf numFmtId="2" fontId="0" fillId="8" borderId="95" xfId="0" applyNumberFormat="1" applyFill="1" applyBorder="1" applyAlignment="1" applyProtection="1">
      <alignment horizontal="center" vertical="center"/>
      <protection hidden="1"/>
    </xf>
    <xf numFmtId="2" fontId="0" fillId="8" borderId="96" xfId="0" applyNumberFormat="1" applyFill="1" applyBorder="1" applyAlignment="1" applyProtection="1">
      <alignment horizontal="center" vertical="center"/>
      <protection hidden="1"/>
    </xf>
    <xf numFmtId="49" fontId="0" fillId="0" borderId="0" xfId="0" applyNumberFormat="1" applyProtection="1">
      <protection locked="0" hidden="1"/>
    </xf>
    <xf numFmtId="0" fontId="60" fillId="5" borderId="0" xfId="4" applyFont="1" applyFill="1" applyAlignment="1" applyProtection="1">
      <alignment horizontal="right" vertical="center"/>
      <protection hidden="1"/>
    </xf>
    <xf numFmtId="0" fontId="61" fillId="0" borderId="0" xfId="0" applyFont="1" applyAlignment="1">
      <alignment vertical="center"/>
    </xf>
    <xf numFmtId="0" fontId="45" fillId="5" borderId="0" xfId="4" applyFont="1" applyFill="1" applyAlignment="1" applyProtection="1">
      <alignment horizontal="right" vertical="top" wrapText="1"/>
      <protection hidden="1"/>
    </xf>
    <xf numFmtId="0" fontId="47" fillId="0" borderId="0" xfId="0" applyFont="1" applyAlignment="1" applyProtection="1">
      <alignment horizontal="left" vertical="center" wrapText="1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0" fillId="0" borderId="32" xfId="0" applyBorder="1" applyProtection="1">
      <protection hidden="1"/>
    </xf>
    <xf numFmtId="0" fontId="0" fillId="0" borderId="40" xfId="0" applyBorder="1" applyProtection="1">
      <protection hidden="1"/>
    </xf>
    <xf numFmtId="0" fontId="39" fillId="0" borderId="38" xfId="0" applyFont="1" applyBorder="1" applyAlignment="1" applyProtection="1">
      <alignment horizontal="center"/>
      <protection hidden="1"/>
    </xf>
    <xf numFmtId="0" fontId="39" fillId="0" borderId="28" xfId="0" applyFont="1" applyBorder="1" applyAlignment="1" applyProtection="1">
      <alignment horizontal="center"/>
      <protection hidden="1"/>
    </xf>
    <xf numFmtId="0" fontId="44" fillId="0" borderId="41" xfId="0" applyFont="1" applyBorder="1" applyAlignment="1" applyProtection="1">
      <alignment horizontal="left"/>
      <protection hidden="1"/>
    </xf>
    <xf numFmtId="0" fontId="44" fillId="0" borderId="36" xfId="0" applyFont="1" applyBorder="1" applyAlignment="1" applyProtection="1">
      <alignment horizontal="left"/>
      <protection hidden="1"/>
    </xf>
    <xf numFmtId="0" fontId="0" fillId="0" borderId="39" xfId="0" applyBorder="1" applyAlignment="1" applyProtection="1">
      <alignment horizontal="left"/>
      <protection hidden="1"/>
    </xf>
    <xf numFmtId="0" fontId="0" fillId="0" borderId="27" xfId="0" applyBorder="1" applyAlignment="1" applyProtection="1">
      <alignment horizontal="left"/>
      <protection hidden="1"/>
    </xf>
    <xf numFmtId="0" fontId="0" fillId="0" borderId="43" xfId="0" applyBorder="1" applyAlignment="1" applyProtection="1">
      <alignment horizontal="left" vertical="center"/>
      <protection hidden="1"/>
    </xf>
    <xf numFmtId="0" fontId="0" fillId="0" borderId="45" xfId="0" applyBorder="1" applyAlignment="1" applyProtection="1">
      <alignment horizontal="left" vertical="center"/>
      <protection hidden="1"/>
    </xf>
    <xf numFmtId="0" fontId="39" fillId="0" borderId="38" xfId="0" applyFont="1" applyBorder="1" applyAlignment="1" applyProtection="1">
      <alignment horizontal="left"/>
      <protection hidden="1"/>
    </xf>
    <xf numFmtId="0" fontId="39" fillId="0" borderId="28" xfId="0" applyFont="1" applyBorder="1" applyAlignment="1" applyProtection="1">
      <alignment horizontal="left"/>
      <protection hidden="1"/>
    </xf>
    <xf numFmtId="0" fontId="39" fillId="0" borderId="55" xfId="0" applyFont="1" applyBorder="1" applyAlignment="1" applyProtection="1">
      <alignment horizontal="left"/>
      <protection hidden="1"/>
    </xf>
    <xf numFmtId="0" fontId="39" fillId="0" borderId="56" xfId="0" applyFont="1" applyBorder="1" applyAlignment="1" applyProtection="1">
      <alignment horizontal="left"/>
      <protection hidden="1"/>
    </xf>
    <xf numFmtId="0" fontId="0" fillId="0" borderId="53" xfId="0" applyBorder="1" applyAlignment="1" applyProtection="1">
      <alignment horizontal="left"/>
      <protection hidden="1"/>
    </xf>
    <xf numFmtId="0" fontId="0" fillId="0" borderId="54" xfId="0" applyBorder="1" applyAlignment="1" applyProtection="1">
      <alignment horizontal="left"/>
      <protection hidden="1"/>
    </xf>
    <xf numFmtId="0" fontId="12" fillId="0" borderId="42" xfId="0" applyFont="1" applyBorder="1" applyAlignment="1" applyProtection="1">
      <alignment horizontal="left" vertical="center"/>
      <protection hidden="1"/>
    </xf>
    <xf numFmtId="0" fontId="12" fillId="0" borderId="38" xfId="0" applyFont="1" applyBorder="1" applyAlignment="1" applyProtection="1">
      <alignment horizontal="left" vertical="center"/>
      <protection hidden="1"/>
    </xf>
    <xf numFmtId="0" fontId="0" fillId="0" borderId="47" xfId="0" applyBorder="1" applyAlignment="1" applyProtection="1">
      <alignment horizontal="left" vertical="center"/>
      <protection hidden="1"/>
    </xf>
    <xf numFmtId="0" fontId="0" fillId="0" borderId="44" xfId="0" applyBorder="1" applyAlignment="1" applyProtection="1">
      <alignment horizontal="left" vertical="center"/>
      <protection hidden="1"/>
    </xf>
    <xf numFmtId="0" fontId="12" fillId="0" borderId="46" xfId="0" applyFont="1" applyBorder="1" applyAlignment="1" applyProtection="1">
      <alignment horizontal="left" vertical="center"/>
      <protection hidden="1"/>
    </xf>
    <xf numFmtId="0" fontId="12" fillId="0" borderId="43" xfId="0" applyFont="1" applyBorder="1" applyAlignment="1" applyProtection="1">
      <alignment horizontal="left" vertical="center"/>
      <protection hidden="1"/>
    </xf>
    <xf numFmtId="0" fontId="12" fillId="0" borderId="45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8" borderId="95" xfId="0" applyFill="1" applyBorder="1" applyAlignment="1" applyProtection="1">
      <alignment horizontal="left"/>
      <protection hidden="1"/>
    </xf>
    <xf numFmtId="0" fontId="0" fillId="8" borderId="96" xfId="0" applyFill="1" applyBorder="1" applyAlignment="1" applyProtection="1">
      <alignment horizontal="left"/>
      <protection hidden="1"/>
    </xf>
    <xf numFmtId="0" fontId="0" fillId="0" borderId="42" xfId="0" applyBorder="1" applyAlignment="1" applyProtection="1">
      <alignment horizontal="left" vertical="center"/>
      <protection hidden="1"/>
    </xf>
    <xf numFmtId="0" fontId="0" fillId="0" borderId="38" xfId="0" applyBorder="1" applyAlignment="1" applyProtection="1">
      <alignment horizontal="left" vertical="center"/>
      <protection hidden="1"/>
    </xf>
    <xf numFmtId="2" fontId="0" fillId="0" borderId="43" xfId="0" applyNumberFormat="1" applyBorder="1" applyAlignment="1" applyProtection="1">
      <alignment horizontal="left" vertical="center"/>
      <protection hidden="1"/>
    </xf>
    <xf numFmtId="2" fontId="0" fillId="0" borderId="40" xfId="0" applyNumberFormat="1" applyBorder="1" applyAlignment="1" applyProtection="1">
      <alignment horizontal="left" vertical="center"/>
      <protection hidden="1"/>
    </xf>
    <xf numFmtId="0" fontId="0" fillId="0" borderId="47" xfId="0" applyBorder="1" applyAlignment="1" applyProtection="1">
      <alignment horizontal="left"/>
      <protection hidden="1"/>
    </xf>
    <xf numFmtId="0" fontId="0" fillId="0" borderId="44" xfId="0" applyBorder="1" applyAlignment="1" applyProtection="1">
      <alignment horizontal="left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0" borderId="61" xfId="0" applyBorder="1" applyAlignment="1" applyProtection="1">
      <alignment horizontal="left" vertical="center"/>
      <protection hidden="1"/>
    </xf>
    <xf numFmtId="0" fontId="0" fillId="0" borderId="62" xfId="0" applyBorder="1" applyAlignment="1" applyProtection="1">
      <alignment horizontal="left" vertical="center"/>
      <protection hidden="1"/>
    </xf>
    <xf numFmtId="0" fontId="0" fillId="0" borderId="57" xfId="0" applyBorder="1" applyAlignment="1" applyProtection="1">
      <alignment horizontal="center"/>
      <protection locked="0" hidden="1"/>
    </xf>
    <xf numFmtId="0" fontId="0" fillId="0" borderId="46" xfId="0" applyBorder="1" applyAlignment="1" applyProtection="1">
      <alignment horizontal="left" vertical="center"/>
      <protection hidden="1"/>
    </xf>
    <xf numFmtId="0" fontId="0" fillId="0" borderId="42" xfId="0" applyBorder="1" applyAlignment="1" applyProtection="1">
      <alignment horizontal="left"/>
      <protection hidden="1"/>
    </xf>
    <xf numFmtId="0" fontId="0" fillId="0" borderId="46" xfId="0" applyBorder="1" applyAlignment="1" applyProtection="1">
      <alignment horizontal="left"/>
      <protection hidden="1"/>
    </xf>
    <xf numFmtId="0" fontId="42" fillId="4" borderId="39" xfId="0" applyFont="1" applyFill="1" applyBorder="1" applyAlignment="1" applyProtection="1">
      <alignment horizontal="left"/>
      <protection locked="0" hidden="1"/>
    </xf>
    <xf numFmtId="0" fontId="42" fillId="4" borderId="27" xfId="0" applyFont="1" applyFill="1" applyBorder="1" applyAlignment="1" applyProtection="1">
      <alignment horizontal="left"/>
      <protection locked="0" hidden="1"/>
    </xf>
    <xf numFmtId="0" fontId="42" fillId="4" borderId="38" xfId="0" applyFont="1" applyFill="1" applyBorder="1" applyAlignment="1" applyProtection="1">
      <alignment horizontal="left"/>
      <protection locked="0" hidden="1"/>
    </xf>
    <xf numFmtId="0" fontId="42" fillId="4" borderId="28" xfId="0" applyFont="1" applyFill="1" applyBorder="1" applyAlignment="1" applyProtection="1">
      <alignment horizontal="left"/>
      <protection locked="0" hidden="1"/>
    </xf>
    <xf numFmtId="0" fontId="42" fillId="4" borderId="31" xfId="0" applyFont="1" applyFill="1" applyBorder="1" applyAlignment="1" applyProtection="1">
      <alignment horizontal="left"/>
      <protection locked="0" hidden="1"/>
    </xf>
    <xf numFmtId="0" fontId="42" fillId="4" borderId="44" xfId="0" applyFont="1" applyFill="1" applyBorder="1" applyAlignment="1" applyProtection="1">
      <alignment horizontal="left"/>
      <protection locked="0" hidden="1"/>
    </xf>
    <xf numFmtId="0" fontId="42" fillId="4" borderId="30" xfId="0" applyFont="1" applyFill="1" applyBorder="1" applyAlignment="1" applyProtection="1">
      <alignment horizontal="left"/>
      <protection locked="0" hidden="1"/>
    </xf>
    <xf numFmtId="0" fontId="42" fillId="4" borderId="46" xfId="0" applyFont="1" applyFill="1" applyBorder="1" applyAlignment="1" applyProtection="1">
      <alignment horizontal="left"/>
      <protection locked="0" hidden="1"/>
    </xf>
    <xf numFmtId="0" fontId="0" fillId="0" borderId="70" xfId="0" applyBorder="1" applyAlignment="1" applyProtection="1">
      <alignment horizontal="left" vertical="center"/>
      <protection locked="0"/>
    </xf>
    <xf numFmtId="0" fontId="9" fillId="0" borderId="51" xfId="0" applyFont="1" applyBorder="1" applyAlignment="1" applyProtection="1">
      <alignment horizontal="left" vertical="center"/>
      <protection hidden="1"/>
    </xf>
    <xf numFmtId="0" fontId="9" fillId="0" borderId="56" xfId="0" applyFont="1" applyBorder="1" applyAlignment="1" applyProtection="1">
      <alignment horizontal="left" vertical="center"/>
      <protection hidden="1"/>
    </xf>
    <xf numFmtId="2" fontId="9" fillId="7" borderId="76" xfId="0" applyNumberFormat="1" applyFont="1" applyFill="1" applyBorder="1" applyAlignment="1" applyProtection="1">
      <alignment horizontal="center" vertical="center"/>
      <protection hidden="1"/>
    </xf>
    <xf numFmtId="2" fontId="9" fillId="7" borderId="74" xfId="0" applyNumberFormat="1" applyFont="1" applyFill="1" applyBorder="1" applyAlignment="1" applyProtection="1">
      <alignment horizontal="center" vertical="center"/>
      <protection hidden="1"/>
    </xf>
    <xf numFmtId="2" fontId="9" fillId="6" borderId="76" xfId="0" applyNumberFormat="1" applyFont="1" applyFill="1" applyBorder="1" applyAlignment="1" applyProtection="1">
      <alignment horizontal="center" vertical="center"/>
      <protection hidden="1"/>
    </xf>
    <xf numFmtId="2" fontId="9" fillId="6" borderId="75" xfId="0" applyNumberFormat="1" applyFont="1" applyFill="1" applyBorder="1" applyAlignment="1" applyProtection="1">
      <alignment horizontal="center" vertical="center"/>
      <protection hidden="1"/>
    </xf>
    <xf numFmtId="2" fontId="9" fillId="6" borderId="74" xfId="0" applyNumberFormat="1" applyFont="1" applyFill="1" applyBorder="1" applyAlignment="1" applyProtection="1">
      <alignment horizontal="center" vertical="center"/>
      <protection hidden="1"/>
    </xf>
    <xf numFmtId="2" fontId="9" fillId="4" borderId="79" xfId="0" applyNumberFormat="1" applyFont="1" applyFill="1" applyBorder="1" applyAlignment="1" applyProtection="1">
      <alignment horizontal="left" vertical="center"/>
      <protection locked="0" hidden="1"/>
    </xf>
    <xf numFmtId="2" fontId="9" fillId="4" borderId="55" xfId="0" applyNumberFormat="1" applyFont="1" applyFill="1" applyBorder="1" applyAlignment="1" applyProtection="1">
      <alignment horizontal="left" vertical="center"/>
      <protection locked="0" hidden="1"/>
    </xf>
    <xf numFmtId="2" fontId="9" fillId="4" borderId="56" xfId="0" applyNumberFormat="1" applyFont="1" applyFill="1" applyBorder="1" applyAlignment="1" applyProtection="1">
      <alignment horizontal="left" vertical="center"/>
      <protection locked="0" hidden="1"/>
    </xf>
    <xf numFmtId="2" fontId="9" fillId="4" borderId="80" xfId="0" applyNumberFormat="1" applyFont="1" applyFill="1" applyBorder="1" applyAlignment="1" applyProtection="1">
      <alignment horizontal="left" vertical="center"/>
      <protection locked="0" hidden="1"/>
    </xf>
    <xf numFmtId="0" fontId="39" fillId="0" borderId="40" xfId="0" applyFont="1" applyBorder="1" applyAlignment="1" applyProtection="1">
      <alignment horizontal="left"/>
      <protection hidden="1"/>
    </xf>
    <xf numFmtId="0" fontId="39" fillId="0" borderId="29" xfId="0" applyFont="1" applyBorder="1" applyAlignment="1" applyProtection="1">
      <alignment horizontal="left"/>
      <protection hidden="1"/>
    </xf>
    <xf numFmtId="0" fontId="0" fillId="0" borderId="43" xfId="0" applyBorder="1" applyAlignment="1" applyProtection="1">
      <alignment horizontal="left"/>
      <protection hidden="1"/>
    </xf>
    <xf numFmtId="0" fontId="0" fillId="0" borderId="45" xfId="0" applyBorder="1" applyAlignment="1" applyProtection="1">
      <alignment horizontal="left"/>
      <protection hidden="1"/>
    </xf>
    <xf numFmtId="0" fontId="0" fillId="0" borderId="51" xfId="0" applyBorder="1" applyAlignment="1" applyProtection="1">
      <alignment horizontal="left"/>
      <protection hidden="1"/>
    </xf>
    <xf numFmtId="0" fontId="0" fillId="0" borderId="52" xfId="0" applyBorder="1" applyAlignment="1" applyProtection="1">
      <alignment horizontal="left"/>
      <protection hidden="1"/>
    </xf>
    <xf numFmtId="0" fontId="6" fillId="0" borderId="42" xfId="0" applyFont="1" applyBorder="1" applyAlignment="1" applyProtection="1">
      <alignment horizontal="left" vertical="center"/>
      <protection hidden="1"/>
    </xf>
    <xf numFmtId="0" fontId="6" fillId="0" borderId="38" xfId="0" applyFont="1" applyBorder="1" applyAlignment="1" applyProtection="1">
      <alignment horizontal="left" vertical="center"/>
      <protection hidden="1"/>
    </xf>
    <xf numFmtId="0" fontId="0" fillId="0" borderId="77" xfId="0" applyBorder="1" applyAlignment="1" applyProtection="1">
      <alignment horizontal="left" vertical="center"/>
      <protection hidden="1"/>
    </xf>
    <xf numFmtId="0" fontId="12" fillId="0" borderId="78" xfId="0" applyFont="1" applyBorder="1" applyAlignment="1" applyProtection="1">
      <alignment horizontal="left" vertical="center"/>
      <protection hidden="1"/>
    </xf>
    <xf numFmtId="0" fontId="30" fillId="0" borderId="58" xfId="0" applyFont="1" applyBorder="1" applyAlignment="1">
      <alignment horizontal="center" vertical="center" textRotation="90" wrapText="1"/>
    </xf>
    <xf numFmtId="0" fontId="0" fillId="0" borderId="0" xfId="0" applyAlignment="1">
      <alignment horizontal="left" vertical="center" wrapText="1"/>
    </xf>
    <xf numFmtId="0" fontId="30" fillId="0" borderId="92" xfId="0" applyFont="1" applyBorder="1" applyAlignment="1">
      <alignment horizontal="center" vertical="center" textRotation="90" wrapText="1"/>
    </xf>
    <xf numFmtId="0" fontId="0" fillId="0" borderId="5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0" xfId="0" applyBorder="1" applyAlignment="1">
      <alignment horizontal="center"/>
    </xf>
    <xf numFmtId="164" fontId="53" fillId="0" borderId="86" xfId="6" applyNumberFormat="1" applyFont="1" applyBorder="1" applyAlignment="1" applyProtection="1">
      <alignment horizontal="center" vertical="center" wrapText="1"/>
      <protection hidden="1"/>
    </xf>
    <xf numFmtId="164" fontId="53" fillId="0" borderId="85" xfId="6" applyNumberFormat="1" applyFont="1" applyBorder="1" applyAlignment="1" applyProtection="1">
      <alignment horizontal="center" vertical="center" wrapText="1"/>
      <protection hidden="1"/>
    </xf>
    <xf numFmtId="164" fontId="53" fillId="0" borderId="84" xfId="6" applyNumberFormat="1" applyFont="1" applyBorder="1" applyAlignment="1" applyProtection="1">
      <alignment horizontal="center" vertical="center" wrapText="1"/>
      <protection hidden="1"/>
    </xf>
    <xf numFmtId="164" fontId="51" fillId="0" borderId="90" xfId="6" applyNumberFormat="1" applyFont="1" applyBorder="1" applyAlignment="1" applyProtection="1">
      <alignment horizontal="center" vertical="center" wrapText="1"/>
      <protection hidden="1"/>
    </xf>
    <xf numFmtId="164" fontId="51" fillId="0" borderId="85" xfId="6" applyNumberFormat="1" applyFont="1" applyBorder="1" applyAlignment="1" applyProtection="1">
      <alignment horizontal="center" vertical="center" wrapText="1"/>
      <protection hidden="1"/>
    </xf>
    <xf numFmtId="164" fontId="51" fillId="0" borderId="84" xfId="6" applyNumberFormat="1" applyFont="1" applyBorder="1" applyAlignment="1" applyProtection="1">
      <alignment horizontal="center" vertical="center" wrapText="1"/>
      <protection hidden="1"/>
    </xf>
  </cellXfs>
  <cellStyles count="7">
    <cellStyle name="Normální" xfId="0" builtinId="0"/>
    <cellStyle name="Normální 2" xfId="2" xr:uid="{00000000-0005-0000-0000-000001000000}"/>
    <cellStyle name="Normální 2 2" xfId="6" xr:uid="{EBF2F133-8B06-451C-B240-94862BBA4A36}"/>
    <cellStyle name="Normální 3" xfId="4" xr:uid="{00000000-0005-0000-0000-000002000000}"/>
    <cellStyle name="Normální 4" xfId="5" xr:uid="{601C257E-960B-407F-9D28-3D9F7F3A0D28}"/>
    <cellStyle name="normální_VYHODNOCENÍ" xfId="1" xr:uid="{00000000-0005-0000-0000-000004000000}"/>
    <cellStyle name="Procenta 2" xfId="3" xr:uid="{00000000-0005-0000-0000-000005000000}"/>
  </cellStyles>
  <dxfs count="0"/>
  <tableStyles count="0" defaultTableStyle="TableStyleMedium9" defaultPivotStyle="PivotStyleLight16"/>
  <colors>
    <mruColors>
      <color rgb="FFB5C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39595050618731E-2"/>
          <c:y val="2.7290448343079938E-2"/>
          <c:w val="0.88188976377952755"/>
          <c:h val="0.86939571150097483"/>
        </c:manualLayout>
      </c:layout>
      <c:areaChart>
        <c:grouping val="standard"/>
        <c:varyColors val="0"/>
        <c:ser>
          <c:idx val="2"/>
          <c:order val="2"/>
          <c:tx>
            <c:strRef>
              <c:f>'Výpočtová část'!$Q$4:$Q$5</c:f>
              <c:strCache>
                <c:ptCount val="2"/>
                <c:pt idx="0">
                  <c:v>Qk1,u</c:v>
                </c:pt>
                <c:pt idx="1">
                  <c:v>kWh</c:v>
                </c:pt>
              </c:strCache>
            </c:strRef>
          </c:tx>
          <c:spPr>
            <a:solidFill>
              <a:srgbClr val="FF0000">
                <a:alpha val="18000"/>
              </a:srgbClr>
            </a:solidFill>
            <a:ln w="28575" cap="rnd" cmpd="sng">
              <a:solidFill>
                <a:srgbClr val="C00000"/>
              </a:solidFill>
              <a:prstDash val="solid"/>
              <a:round/>
            </a:ln>
          </c:spPr>
          <c:cat>
            <c:numRef>
              <c:f>'Výpočtová část'!$B$6:$B$17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'Výpočtová část'!$Q$6:$Q$17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C-485A-B9C4-EADEFA4DC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039680"/>
        <c:axId val="76431744"/>
      </c:areaChart>
      <c:lineChart>
        <c:grouping val="standard"/>
        <c:varyColors val="0"/>
        <c:ser>
          <c:idx val="0"/>
          <c:order val="0"/>
          <c:tx>
            <c:strRef>
              <c:f>'Výpočtová část'!$V$4:$V$5</c:f>
              <c:strCache>
                <c:ptCount val="2"/>
                <c:pt idx="0">
                  <c:v>Qp,c</c:v>
                </c:pt>
                <c:pt idx="1">
                  <c:v>kWh</c:v>
                </c:pt>
              </c:strCache>
            </c:strRef>
          </c:tx>
          <c:marker>
            <c:symbol val="none"/>
          </c:marker>
          <c:cat>
            <c:numRef>
              <c:f>'Výpočtová část'!$B$6:$B$17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'Výpočtová část'!$V$6:$V$17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C-485A-B9C4-EADEFA4DCC1D}"/>
            </c:ext>
          </c:extLst>
        </c:ser>
        <c:ser>
          <c:idx val="1"/>
          <c:order val="1"/>
          <c:tx>
            <c:strRef>
              <c:f>'Výpočtová část'!$W$4:$W$5</c:f>
              <c:strCache>
                <c:ptCount val="2"/>
                <c:pt idx="0">
                  <c:v>Qss,u</c:v>
                </c:pt>
                <c:pt idx="1">
                  <c:v>kWh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'Výpočtová část'!$B$6:$B$17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'Výpočtová část'!$W$6:$W$17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EC-485A-B9C4-EADEFA4DC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039680"/>
        <c:axId val="76431744"/>
      </c:lineChart>
      <c:catAx>
        <c:axId val="76039680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Měsíc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643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431744"/>
        <c:scaling>
          <c:orientation val="minMax"/>
        </c:scaling>
        <c:delete val="0"/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Energie [kWh]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76039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638193719760944"/>
          <c:y val="2.4939903544561718E-2"/>
          <c:w val="0.13773038611137481"/>
          <c:h val="0.1656714994755674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6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>
      <c:oddHeader>&amp;L
&amp;G&amp;Rv3.1 (2.11.2015)</c:oddHeader>
    </c:headerFooter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5" dropStyle="combo" dx="16" fmlaLink="E21" fmlaRange="data!$A$13:$A$16" noThreeD="1" sel="2" val="0"/>
</file>

<file path=xl/ctrlProps/ctrlProp10.xml><?xml version="1.0" encoding="utf-8"?>
<formControlPr xmlns="http://schemas.microsoft.com/office/spreadsheetml/2009/9/main" objectType="Drop" dropLines="2" dropStyle="combo" dx="16" fmlaLink="data!$A$48" fmlaRange="data!$A$49:$A$50" noThreeD="1" sel="1" val="0"/>
</file>

<file path=xl/ctrlProps/ctrlProp2.xml><?xml version="1.0" encoding="utf-8"?>
<formControlPr xmlns="http://schemas.microsoft.com/office/spreadsheetml/2009/9/main" objectType="Drop" dropLines="4" dropStyle="combo" dx="16" fmlaLink="D29" fmlaRange="data!$A$21:$A$24" noThreeD="1" sel="4" val="0"/>
</file>

<file path=xl/ctrlProps/ctrlProp3.xml><?xml version="1.0" encoding="utf-8"?>
<formControlPr xmlns="http://schemas.microsoft.com/office/spreadsheetml/2009/9/main" objectType="Drop" dropLines="2" dropStyle="combo" dx="16" fmlaLink="$E$25" fmlaRange="data!$A$38:$A$39" noThreeD="1" sel="2" val="0"/>
</file>

<file path=xl/ctrlProps/ctrlProp4.xml><?xml version="1.0" encoding="utf-8"?>
<formControlPr xmlns="http://schemas.microsoft.com/office/spreadsheetml/2009/9/main" objectType="Drop" dropLines="3" dropStyle="combo" dx="16" fmlaLink="$D$11" fmlaRange="data!$A$53:$A$54" noThreeD="1" sel="1" val="0"/>
</file>

<file path=xl/ctrlProps/ctrlProp5.xml><?xml version="1.0" encoding="utf-8"?>
<formControlPr xmlns="http://schemas.microsoft.com/office/spreadsheetml/2009/9/main" objectType="Drop" dropLines="7" dropStyle="combo" dx="16" fmlaLink="D43" fmlaRange="data!$D$2:$D$8" noThreeD="1" sel="4" val="0"/>
</file>

<file path=xl/ctrlProps/ctrlProp6.xml><?xml version="1.0" encoding="utf-8"?>
<formControlPr xmlns="http://schemas.microsoft.com/office/spreadsheetml/2009/9/main" objectType="Drop" dropLines="7" dropStyle="combo" dx="16" fmlaLink="D44" fmlaRange="data!$E$2:$E$8" noThreeD="1" sel="1" val="0"/>
</file>

<file path=xl/ctrlProps/ctrlProp7.xml><?xml version="1.0" encoding="utf-8"?>
<formControlPr xmlns="http://schemas.microsoft.com/office/spreadsheetml/2009/9/main" objectType="Drop" dropLines="7" dropStyle="combo" dx="16" fmlaLink="G43" fmlaRange="data!$D$2:$D$8" noThreeD="1" sel="4" val="0"/>
</file>

<file path=xl/ctrlProps/ctrlProp8.xml><?xml version="1.0" encoding="utf-8"?>
<formControlPr xmlns="http://schemas.microsoft.com/office/spreadsheetml/2009/9/main" objectType="Drop" dropLines="7" dropStyle="combo" dx="16" fmlaLink="G44" fmlaRange="data!$E$2:$E$8" noThreeD="1" sel="1" val="0"/>
</file>

<file path=xl/ctrlProps/ctrlProp9.xml><?xml version="1.0" encoding="utf-8"?>
<formControlPr xmlns="http://schemas.microsoft.com/office/spreadsheetml/2009/9/main" objectType="Drop" dropLines="2" dropStyle="combo" dx="16" fmlaLink="C9" fmlaRange="data!$A$59:$A$60" noThreeD="1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9525</xdr:rowOff>
        </xdr:from>
        <xdr:to>
          <xdr:col>7</xdr:col>
          <xdr:colOff>1257300</xdr:colOff>
          <xdr:row>21</xdr:row>
          <xdr:rowOff>0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0</xdr:rowOff>
        </xdr:from>
        <xdr:to>
          <xdr:col>4</xdr:col>
          <xdr:colOff>0</xdr:colOff>
          <xdr:row>42</xdr:row>
          <xdr:rowOff>200025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9525</xdr:rowOff>
        </xdr:from>
        <xdr:to>
          <xdr:col>4</xdr:col>
          <xdr:colOff>0</xdr:colOff>
          <xdr:row>43</xdr:row>
          <xdr:rowOff>209550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9525</xdr:rowOff>
        </xdr:from>
        <xdr:to>
          <xdr:col>7</xdr:col>
          <xdr:colOff>1257300</xdr:colOff>
          <xdr:row>29</xdr:row>
          <xdr:rowOff>0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9525</xdr:rowOff>
        </xdr:from>
        <xdr:to>
          <xdr:col>7</xdr:col>
          <xdr:colOff>1257300</xdr:colOff>
          <xdr:row>24</xdr:row>
          <xdr:rowOff>209550</xdr:rowOff>
        </xdr:to>
        <xdr:sp macro="" textlink="">
          <xdr:nvSpPr>
            <xdr:cNvPr id="2091" name="Drop Down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7</xdr:col>
          <xdr:colOff>1314450</xdr:colOff>
          <xdr:row>11</xdr:row>
          <xdr:rowOff>0</xdr:rowOff>
        </xdr:to>
        <xdr:sp macro="" textlink="">
          <xdr:nvSpPr>
            <xdr:cNvPr id="2108" name="Drop Dow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1590675</xdr:colOff>
          <xdr:row>8</xdr:row>
          <xdr:rowOff>0</xdr:rowOff>
        </xdr:from>
        <xdr:to>
          <xdr:col>2</xdr:col>
          <xdr:colOff>2066925</xdr:colOff>
          <xdr:row>8</xdr:row>
          <xdr:rowOff>219075</xdr:rowOff>
        </xdr:to>
        <xdr:sp macro="" textlink="">
          <xdr:nvSpPr>
            <xdr:cNvPr id="2301" name="Drop Down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0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6</xdr:col>
          <xdr:colOff>590550</xdr:colOff>
          <xdr:row>42</xdr:row>
          <xdr:rowOff>200025</xdr:rowOff>
        </xdr:to>
        <xdr:sp macro="" textlink="">
          <xdr:nvSpPr>
            <xdr:cNvPr id="2304" name="Drop Down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0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9525</xdr:rowOff>
        </xdr:from>
        <xdr:to>
          <xdr:col>6</xdr:col>
          <xdr:colOff>590550</xdr:colOff>
          <xdr:row>43</xdr:row>
          <xdr:rowOff>209550</xdr:rowOff>
        </xdr:to>
        <xdr:sp macro="" textlink="">
          <xdr:nvSpPr>
            <xdr:cNvPr id="2305" name="Drop Down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18</xdr:row>
      <xdr:rowOff>180975</xdr:rowOff>
    </xdr:from>
    <xdr:to>
      <xdr:col>23</xdr:col>
      <xdr:colOff>68036</xdr:colOff>
      <xdr:row>37</xdr:row>
      <xdr:rowOff>190500</xdr:rowOff>
    </xdr:to>
    <xdr:graphicFrame macro="">
      <xdr:nvGraphicFramePr>
        <xdr:cNvPr id="3330" name="Graf 2">
          <a:extLst>
            <a:ext uri="{FF2B5EF4-FFF2-40B4-BE49-F238E27FC236}">
              <a16:creationId xmlns:a16="http://schemas.microsoft.com/office/drawing/2014/main" id="{00000000-0008-0000-0100-000002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</xdr:row>
          <xdr:rowOff>9525</xdr:rowOff>
        </xdr:from>
        <xdr:to>
          <xdr:col>28</xdr:col>
          <xdr:colOff>9525</xdr:colOff>
          <xdr:row>4</xdr:row>
          <xdr:rowOff>209550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T63"/>
  <sheetViews>
    <sheetView showGridLines="0" tabSelected="1" view="pageLayout" zoomScale="85" zoomScaleNormal="85" zoomScalePageLayoutView="85" workbookViewId="0">
      <selection activeCell="G2" sqref="G2:H5"/>
    </sheetView>
  </sheetViews>
  <sheetFormatPr defaultColWidth="0" defaultRowHeight="12.75" zeroHeight="1" x14ac:dyDescent="0.2"/>
  <cols>
    <col min="1" max="1" width="3" style="34" customWidth="1"/>
    <col min="2" max="2" width="22.85546875" style="34" customWidth="1"/>
    <col min="3" max="3" width="29.7109375" style="34" customWidth="1"/>
    <col min="4" max="4" width="8.42578125" style="34" customWidth="1"/>
    <col min="5" max="5" width="13.42578125" style="34" customWidth="1"/>
    <col min="6" max="6" width="12" style="34" customWidth="1"/>
    <col min="7" max="7" width="14.28515625" style="34" customWidth="1"/>
    <col min="8" max="8" width="19" style="34" customWidth="1"/>
    <col min="9" max="9" width="1.7109375" style="34" customWidth="1"/>
    <col min="10" max="10" width="11.85546875" style="34" hidden="1" customWidth="1"/>
    <col min="11" max="16384" width="9.140625" style="34" hidden="1"/>
  </cols>
  <sheetData>
    <row r="1" spans="1:20" ht="2.25" customHeight="1" x14ac:dyDescent="0.2">
      <c r="A1" s="103"/>
      <c r="B1" s="103"/>
      <c r="C1" s="103"/>
      <c r="D1" s="103"/>
      <c r="E1" s="103"/>
      <c r="F1" s="103"/>
      <c r="G1" s="103"/>
      <c r="H1" s="103"/>
      <c r="I1" s="103"/>
    </row>
    <row r="2" spans="1:20" ht="36" customHeight="1" x14ac:dyDescent="0.2">
      <c r="A2" s="103"/>
      <c r="B2" s="280" t="s">
        <v>187</v>
      </c>
      <c r="C2" s="281"/>
      <c r="D2" s="281"/>
      <c r="E2" s="281"/>
      <c r="F2" s="281"/>
      <c r="G2" s="279" t="s">
        <v>188</v>
      </c>
      <c r="H2" s="279"/>
      <c r="I2" s="103"/>
    </row>
    <row r="3" spans="1:20" ht="30" customHeight="1" x14ac:dyDescent="0.2">
      <c r="A3" s="103"/>
      <c r="B3" s="281"/>
      <c r="C3" s="281"/>
      <c r="D3" s="281"/>
      <c r="E3" s="281"/>
      <c r="F3" s="281"/>
      <c r="G3" s="279"/>
      <c r="H3" s="279"/>
      <c r="I3" s="103"/>
    </row>
    <row r="4" spans="1:20" ht="18" customHeight="1" x14ac:dyDescent="0.2">
      <c r="A4" s="103"/>
      <c r="B4" s="197" t="s">
        <v>110</v>
      </c>
      <c r="C4" s="126"/>
      <c r="D4" s="103"/>
      <c r="E4" s="103"/>
      <c r="F4" s="103"/>
      <c r="G4" s="279"/>
      <c r="H4" s="279"/>
      <c r="I4" s="103"/>
    </row>
    <row r="5" spans="1:20" ht="9.75" customHeight="1" thickBot="1" x14ac:dyDescent="0.25">
      <c r="A5" s="95"/>
      <c r="G5" s="279"/>
      <c r="H5" s="279"/>
      <c r="I5" s="95"/>
    </row>
    <row r="6" spans="1:20" ht="18" customHeight="1" thickBot="1" x14ac:dyDescent="0.25">
      <c r="A6" s="95"/>
      <c r="B6" s="264" t="s">
        <v>89</v>
      </c>
      <c r="C6" s="265"/>
      <c r="D6" s="306"/>
      <c r="E6" s="306"/>
      <c r="F6" s="306"/>
      <c r="G6" s="306"/>
      <c r="H6" s="307"/>
      <c r="I6" s="95"/>
    </row>
    <row r="7" spans="1:20" ht="18" customHeight="1" x14ac:dyDescent="0.2">
      <c r="A7" s="277">
        <v>1</v>
      </c>
      <c r="B7" s="185" t="s">
        <v>130</v>
      </c>
      <c r="C7" s="325"/>
      <c r="D7" s="326"/>
      <c r="E7" s="121" t="s">
        <v>132</v>
      </c>
      <c r="F7" s="212"/>
      <c r="G7" s="321"/>
      <c r="H7" s="322"/>
      <c r="I7" s="95"/>
    </row>
    <row r="8" spans="1:20" ht="18" customHeight="1" x14ac:dyDescent="0.2">
      <c r="A8" s="277">
        <f>A7+1</f>
        <v>2</v>
      </c>
      <c r="B8" s="186" t="s">
        <v>131</v>
      </c>
      <c r="C8" s="327"/>
      <c r="D8" s="328"/>
      <c r="E8" s="119" t="s">
        <v>123</v>
      </c>
      <c r="F8" s="211"/>
      <c r="G8" s="323"/>
      <c r="H8" s="324"/>
      <c r="I8" s="95"/>
    </row>
    <row r="9" spans="1:20" ht="18" customHeight="1" thickBot="1" x14ac:dyDescent="0.25">
      <c r="A9" s="277">
        <f>A8+1</f>
        <v>3</v>
      </c>
      <c r="B9" s="138" t="s">
        <v>117</v>
      </c>
      <c r="C9" s="207">
        <v>1</v>
      </c>
      <c r="D9" s="282" t="s">
        <v>122</v>
      </c>
      <c r="E9" s="283"/>
      <c r="F9" s="283"/>
      <c r="G9" s="283"/>
      <c r="H9" s="263"/>
      <c r="I9" s="95"/>
    </row>
    <row r="10" spans="1:20" ht="7.5" customHeight="1" thickBot="1" x14ac:dyDescent="0.25">
      <c r="A10" s="95"/>
      <c r="I10" s="95"/>
    </row>
    <row r="11" spans="1:20" ht="17.25" customHeight="1" x14ac:dyDescent="0.2">
      <c r="A11" s="277">
        <f>A9+1</f>
        <v>4</v>
      </c>
      <c r="B11" s="195" t="s">
        <v>85</v>
      </c>
      <c r="C11" s="187"/>
      <c r="D11" s="154">
        <v>1</v>
      </c>
      <c r="E11" s="154" t="str">
        <f>IF(D11=1,"C.3.1","C.3.2")</f>
        <v>C.3.1</v>
      </c>
      <c r="F11" s="127"/>
      <c r="G11" s="127"/>
      <c r="H11" s="155" t="str">
        <f>IF(D11=1,D49,D49*(350/280))</f>
        <v/>
      </c>
      <c r="I11" s="95"/>
    </row>
    <row r="12" spans="1:20" ht="16.5" customHeight="1" x14ac:dyDescent="0.2">
      <c r="A12" s="277">
        <f>A11+1</f>
        <v>5</v>
      </c>
      <c r="B12" s="319" t="s">
        <v>90</v>
      </c>
      <c r="C12" s="320"/>
      <c r="D12" s="198"/>
      <c r="E12" s="113" t="s">
        <v>100</v>
      </c>
      <c r="F12" s="132"/>
      <c r="G12" s="132"/>
      <c r="H12" s="106"/>
      <c r="I12" s="35"/>
      <c r="J12" s="35"/>
    </row>
    <row r="13" spans="1:20" ht="16.5" customHeight="1" thickBot="1" x14ac:dyDescent="0.25">
      <c r="A13" s="277">
        <f>A12+1</f>
        <v>6</v>
      </c>
      <c r="B13" s="143" t="s">
        <v>91</v>
      </c>
      <c r="C13" s="139"/>
      <c r="D13" s="165">
        <f>IF(C9=1,40,35)</f>
        <v>40</v>
      </c>
      <c r="E13" s="122" t="s">
        <v>92</v>
      </c>
      <c r="F13" s="166"/>
      <c r="G13" s="166"/>
      <c r="H13" s="167"/>
      <c r="I13" s="35"/>
      <c r="J13" s="35"/>
    </row>
    <row r="14" spans="1:20" ht="9" customHeight="1" thickBot="1" x14ac:dyDescent="0.25">
      <c r="B14" s="35"/>
      <c r="C14" s="35"/>
      <c r="I14" s="35"/>
      <c r="J14" s="35"/>
      <c r="L14" s="36"/>
      <c r="M14" s="36"/>
      <c r="N14" s="36"/>
      <c r="O14" s="36"/>
      <c r="P14" s="36"/>
      <c r="Q14" s="36"/>
      <c r="R14" s="36"/>
      <c r="S14" s="36"/>
      <c r="T14" s="36"/>
    </row>
    <row r="15" spans="1:20" ht="15" customHeight="1" thickBot="1" x14ac:dyDescent="0.25">
      <c r="B15" s="266" t="s">
        <v>14</v>
      </c>
      <c r="C15" s="267"/>
      <c r="D15" s="268"/>
      <c r="E15" s="268"/>
      <c r="F15" s="268"/>
      <c r="G15" s="268"/>
      <c r="H15" s="269"/>
      <c r="I15" s="35"/>
      <c r="J15" s="35"/>
      <c r="L15" s="36"/>
      <c r="M15" s="36"/>
      <c r="N15" s="36"/>
      <c r="O15" s="36"/>
      <c r="P15" s="36"/>
      <c r="Q15" s="36"/>
      <c r="R15" s="36"/>
      <c r="S15" s="36"/>
      <c r="T15" s="36"/>
    </row>
    <row r="16" spans="1:20" ht="16.5" customHeight="1" x14ac:dyDescent="0.2">
      <c r="A16" s="277">
        <f>A13+1</f>
        <v>7</v>
      </c>
      <c r="B16" s="144" t="s">
        <v>93</v>
      </c>
      <c r="C16" s="140"/>
      <c r="D16" s="108">
        <f>D12*D13</f>
        <v>0</v>
      </c>
      <c r="E16" s="114" t="s">
        <v>13</v>
      </c>
      <c r="F16" s="133"/>
      <c r="G16" s="133"/>
      <c r="H16" s="109"/>
      <c r="I16" s="35"/>
      <c r="J16" s="35"/>
      <c r="K16" s="37"/>
      <c r="L16" s="36"/>
      <c r="M16" s="36"/>
      <c r="N16" s="36"/>
      <c r="O16" s="36"/>
      <c r="P16" s="36"/>
      <c r="Q16" s="36"/>
      <c r="R16" s="36"/>
      <c r="S16" s="36"/>
      <c r="T16" s="36"/>
    </row>
    <row r="17" spans="1:20" ht="16.5" customHeight="1" x14ac:dyDescent="0.2">
      <c r="A17" s="277">
        <f>1+A16</f>
        <v>8</v>
      </c>
      <c r="B17" s="193" t="s">
        <v>94</v>
      </c>
      <c r="C17" s="194"/>
      <c r="D17" s="147">
        <v>10</v>
      </c>
      <c r="E17" s="115" t="s">
        <v>0</v>
      </c>
      <c r="F17" s="134"/>
      <c r="G17" s="134"/>
      <c r="H17" s="110"/>
      <c r="I17" s="35"/>
      <c r="J17" s="38"/>
      <c r="L17" s="36"/>
      <c r="M17" s="36"/>
      <c r="N17" s="36"/>
      <c r="O17" s="36"/>
      <c r="P17" s="36"/>
      <c r="Q17" s="36"/>
      <c r="R17" s="36"/>
      <c r="S17" s="36"/>
      <c r="T17" s="36"/>
    </row>
    <row r="18" spans="1:20" ht="16.5" customHeight="1" x14ac:dyDescent="0.2">
      <c r="A18" s="277">
        <f>1+A17</f>
        <v>9</v>
      </c>
      <c r="B18" s="193" t="s">
        <v>95</v>
      </c>
      <c r="C18" s="194"/>
      <c r="D18" s="147">
        <v>55</v>
      </c>
      <c r="E18" s="115" t="s">
        <v>0</v>
      </c>
      <c r="F18" s="134"/>
      <c r="G18" s="178"/>
      <c r="H18" s="110"/>
      <c r="I18" s="35"/>
      <c r="J18" s="38"/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16.5" customHeight="1" x14ac:dyDescent="0.2">
      <c r="A19" s="277">
        <f>1+A18</f>
        <v>10</v>
      </c>
      <c r="B19" s="192" t="s">
        <v>109</v>
      </c>
      <c r="C19" s="194"/>
      <c r="D19" s="184"/>
      <c r="E19" s="115" t="s">
        <v>0</v>
      </c>
      <c r="F19" s="178"/>
      <c r="G19" s="134"/>
      <c r="H19" s="110"/>
      <c r="I19" s="35"/>
      <c r="J19" s="38"/>
      <c r="L19" s="36"/>
      <c r="M19" s="36"/>
      <c r="N19" s="36"/>
      <c r="O19" s="36"/>
      <c r="P19" s="36"/>
      <c r="Q19" s="36"/>
      <c r="R19" s="36"/>
      <c r="S19" s="36"/>
      <c r="T19" s="36"/>
    </row>
    <row r="20" spans="1:20" ht="16.5" customHeight="1" x14ac:dyDescent="0.2">
      <c r="A20" s="277">
        <f t="shared" ref="A20:A22" si="0">1+A19</f>
        <v>11</v>
      </c>
      <c r="B20" s="298" t="s">
        <v>56</v>
      </c>
      <c r="C20" s="302"/>
      <c r="D20" s="177" t="str">
        <f>IF(D11=1,IF(AND(ISNUMBER(Celková_vztažná_plocha),ISNUMBER(osoby),ISNUMBER(Q_p.c)),((0.26/Celková_vztažná_plocha)+100*(Celková_vztažná_plocha/Q_p.c)),""),IF(D11=2,IF(AND(ISNUMBER(osoby),ISNUMBER(Celková_vztažná_plocha),ISNUMBER(Q_p.c),ISNUMBER(t_w1.N)),(0.26/Celková_vztažná_plocha)+100*(Celková_vztažná_plocha/Q_p.c)+0.002*((t_sv*Q_p.TV+t_w1.N*Q_p.vyt)/Q_p.c),""),""))</f>
        <v/>
      </c>
      <c r="E20" s="148"/>
      <c r="F20" s="149"/>
      <c r="G20" s="149"/>
      <c r="H20" s="150"/>
      <c r="I20" s="35"/>
      <c r="J20" s="35"/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16.5" customHeight="1" x14ac:dyDescent="0.2">
      <c r="A21" s="277">
        <f t="shared" si="0"/>
        <v>12</v>
      </c>
      <c r="B21" s="308" t="s">
        <v>96</v>
      </c>
      <c r="C21" s="318"/>
      <c r="D21" s="204">
        <f>+CHOOSE(E21,"",0.15,0.3,1)</f>
        <v>0.15</v>
      </c>
      <c r="E21" s="153">
        <v>2</v>
      </c>
      <c r="F21" s="205"/>
      <c r="G21" s="205"/>
      <c r="H21" s="206"/>
      <c r="I21" s="35"/>
      <c r="J21" s="40"/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16.5" customHeight="1" thickBot="1" x14ac:dyDescent="0.25">
      <c r="A22" s="277">
        <f t="shared" si="0"/>
        <v>13</v>
      </c>
      <c r="B22" s="290" t="s">
        <v>97</v>
      </c>
      <c r="C22" s="291"/>
      <c r="D22" s="199"/>
      <c r="E22" s="168" t="s">
        <v>185</v>
      </c>
      <c r="F22" s="169"/>
      <c r="G22" s="169"/>
      <c r="H22" s="170"/>
      <c r="I22" s="35"/>
      <c r="J22" s="40"/>
      <c r="L22" s="36"/>
      <c r="M22" s="36"/>
      <c r="N22" s="36"/>
      <c r="O22" s="36"/>
      <c r="P22" s="36"/>
      <c r="Q22" s="36"/>
      <c r="R22" s="36"/>
      <c r="S22" s="36"/>
      <c r="T22" s="36"/>
    </row>
    <row r="23" spans="1:20" ht="9" customHeight="1" thickBot="1" x14ac:dyDescent="0.25">
      <c r="B23" s="38"/>
      <c r="C23" s="38"/>
      <c r="D23" s="99"/>
      <c r="E23" s="38"/>
      <c r="F23" s="38"/>
      <c r="G23" s="38"/>
      <c r="H23" s="38"/>
      <c r="I23" s="35"/>
      <c r="J23" s="40"/>
      <c r="L23" s="36"/>
      <c r="M23" s="36"/>
      <c r="N23" s="36"/>
      <c r="O23" s="36"/>
      <c r="P23" s="36"/>
      <c r="Q23" s="36"/>
      <c r="R23" s="36"/>
      <c r="S23" s="36"/>
      <c r="T23" s="36"/>
    </row>
    <row r="24" spans="1:20" ht="17.25" customHeight="1" thickBot="1" x14ac:dyDescent="0.25">
      <c r="B24" s="264" t="s">
        <v>186</v>
      </c>
      <c r="C24" s="265"/>
      <c r="D24" s="270"/>
      <c r="E24" s="270"/>
      <c r="F24" s="270"/>
      <c r="G24" s="270"/>
      <c r="H24" s="271"/>
      <c r="I24" s="35"/>
      <c r="J24" s="40"/>
      <c r="L24" s="36"/>
      <c r="M24" s="36"/>
      <c r="N24" s="36"/>
      <c r="O24" s="36"/>
      <c r="P24" s="36"/>
      <c r="Q24" s="36"/>
      <c r="R24" s="36"/>
      <c r="S24" s="36"/>
      <c r="T24" s="36"/>
    </row>
    <row r="25" spans="1:20" ht="17.25" customHeight="1" x14ac:dyDescent="0.2">
      <c r="A25" s="277">
        <f>1+A22</f>
        <v>14</v>
      </c>
      <c r="B25" s="300" t="s">
        <v>98</v>
      </c>
      <c r="C25" s="301"/>
      <c r="D25" s="156"/>
      <c r="E25" s="127">
        <v>2</v>
      </c>
      <c r="F25" s="135"/>
      <c r="G25" s="135"/>
      <c r="H25" s="157"/>
      <c r="I25" s="35"/>
      <c r="J25" s="40"/>
      <c r="L25" s="36"/>
      <c r="M25" s="36"/>
      <c r="N25" s="36"/>
      <c r="O25" s="36"/>
      <c r="P25" s="36"/>
      <c r="Q25" s="36"/>
      <c r="R25" s="36"/>
      <c r="S25" s="36"/>
      <c r="T25" s="36"/>
    </row>
    <row r="26" spans="1:20" ht="16.5" customHeight="1" x14ac:dyDescent="0.2">
      <c r="A26" s="277">
        <f t="shared" ref="A26:A30" si="1">1+A25</f>
        <v>15</v>
      </c>
      <c r="B26" s="145" t="s">
        <v>67</v>
      </c>
      <c r="C26" s="141"/>
      <c r="D26" s="200"/>
      <c r="E26" s="116" t="s">
        <v>10</v>
      </c>
      <c r="F26" s="136"/>
      <c r="G26" s="136"/>
      <c r="H26" s="111"/>
      <c r="I26" s="35"/>
      <c r="J26" s="42"/>
      <c r="L26" s="36"/>
      <c r="M26" s="36"/>
      <c r="N26" s="36"/>
      <c r="O26" s="36"/>
      <c r="P26" s="36"/>
      <c r="Q26" s="36"/>
      <c r="R26" s="36"/>
      <c r="S26" s="36"/>
      <c r="T26" s="36"/>
    </row>
    <row r="27" spans="1:20" ht="16.5" customHeight="1" x14ac:dyDescent="0.2">
      <c r="A27" s="277">
        <f t="shared" si="1"/>
        <v>16</v>
      </c>
      <c r="B27" s="298" t="s">
        <v>34</v>
      </c>
      <c r="C27" s="302"/>
      <c r="D27" s="184"/>
      <c r="E27" s="116" t="s">
        <v>0</v>
      </c>
      <c r="F27" s="136"/>
      <c r="G27" s="136"/>
      <c r="H27" s="111"/>
      <c r="I27" s="41"/>
      <c r="J27" s="42"/>
      <c r="L27" s="36"/>
      <c r="M27" s="36"/>
      <c r="N27" s="36"/>
      <c r="O27" s="36"/>
      <c r="P27" s="36"/>
      <c r="Q27" s="36"/>
      <c r="R27" s="36"/>
      <c r="S27" s="36"/>
      <c r="T27" s="36"/>
    </row>
    <row r="28" spans="1:20" ht="16.5" customHeight="1" x14ac:dyDescent="0.2">
      <c r="A28" s="277">
        <f t="shared" si="1"/>
        <v>17</v>
      </c>
      <c r="B28" s="298" t="s">
        <v>35</v>
      </c>
      <c r="C28" s="302"/>
      <c r="D28" s="200"/>
      <c r="E28" s="116" t="s">
        <v>0</v>
      </c>
      <c r="F28" s="136"/>
      <c r="G28" s="136"/>
      <c r="H28" s="111"/>
      <c r="I28" s="41"/>
      <c r="J28" s="42"/>
      <c r="L28" s="36"/>
      <c r="M28" s="36"/>
      <c r="N28" s="36"/>
      <c r="O28" s="36"/>
      <c r="P28" s="36"/>
      <c r="Q28" s="36"/>
      <c r="R28" s="36"/>
      <c r="S28" s="36"/>
      <c r="T28" s="36"/>
    </row>
    <row r="29" spans="1:20" ht="16.5" customHeight="1" x14ac:dyDescent="0.2">
      <c r="A29" s="277">
        <f t="shared" si="1"/>
        <v>18</v>
      </c>
      <c r="B29" s="146" t="s">
        <v>71</v>
      </c>
      <c r="C29" s="142"/>
      <c r="D29" s="158">
        <v>4</v>
      </c>
      <c r="E29" s="201">
        <f>+CHOOSE(D29,"",0.75,0.6,0.5)</f>
        <v>0.5</v>
      </c>
      <c r="F29" s="202"/>
      <c r="G29" s="202"/>
      <c r="H29" s="203"/>
      <c r="I29" s="43"/>
      <c r="J29" s="44"/>
      <c r="L29" s="36"/>
      <c r="M29" s="36"/>
      <c r="N29" s="36"/>
      <c r="O29" s="36"/>
      <c r="P29" s="36"/>
      <c r="Q29" s="36"/>
      <c r="R29" s="36"/>
      <c r="S29" s="36"/>
      <c r="T29" s="36"/>
    </row>
    <row r="30" spans="1:20" ht="16.5" customHeight="1" thickBot="1" x14ac:dyDescent="0.25">
      <c r="A30" s="277">
        <f t="shared" si="1"/>
        <v>19</v>
      </c>
      <c r="B30" s="303" t="s">
        <v>53</v>
      </c>
      <c r="C30" s="304"/>
      <c r="D30" s="151">
        <v>5</v>
      </c>
      <c r="E30" s="117" t="s">
        <v>5</v>
      </c>
      <c r="F30" s="137"/>
      <c r="G30" s="137"/>
      <c r="H30" s="112"/>
      <c r="I30" s="43"/>
      <c r="J30" s="44"/>
      <c r="L30" s="36"/>
      <c r="M30" s="36"/>
      <c r="N30" s="36"/>
      <c r="O30" s="36"/>
      <c r="P30" s="36"/>
      <c r="Q30" s="36"/>
      <c r="R30" s="36"/>
      <c r="S30" s="36"/>
      <c r="T30" s="36"/>
    </row>
    <row r="31" spans="1:20" ht="9" customHeight="1" thickBot="1" x14ac:dyDescent="0.25">
      <c r="B31" s="70"/>
      <c r="C31" s="70"/>
      <c r="K31" s="48"/>
      <c r="L31" s="36"/>
      <c r="M31" s="36"/>
      <c r="N31" s="36"/>
      <c r="O31" s="36"/>
      <c r="P31" s="36"/>
      <c r="Q31" s="36"/>
      <c r="R31" s="36"/>
      <c r="S31" s="36"/>
      <c r="T31" s="36"/>
    </row>
    <row r="32" spans="1:20" ht="16.5" customHeight="1" thickBot="1" x14ac:dyDescent="0.25">
      <c r="B32" s="272" t="s">
        <v>36</v>
      </c>
      <c r="C32" s="273"/>
      <c r="D32" s="274"/>
      <c r="E32" s="274"/>
      <c r="F32" s="274"/>
      <c r="G32" s="274"/>
      <c r="H32" s="275"/>
      <c r="I32" s="43"/>
      <c r="J32" s="44"/>
      <c r="L32" s="36"/>
      <c r="M32" s="36"/>
      <c r="N32" s="36"/>
      <c r="O32" s="36"/>
      <c r="P32" s="36"/>
      <c r="Q32" s="36"/>
      <c r="R32" s="36"/>
      <c r="S32" s="36"/>
      <c r="T32" s="36"/>
    </row>
    <row r="33" spans="1:20" ht="16.5" customHeight="1" x14ac:dyDescent="0.2">
      <c r="A33" s="71"/>
      <c r="B33" s="223"/>
      <c r="C33" s="222"/>
      <c r="D33" s="334" t="s">
        <v>133</v>
      </c>
      <c r="E33" s="335"/>
      <c r="F33" s="336"/>
      <c r="G33" s="332" t="s">
        <v>134</v>
      </c>
      <c r="H33" s="333"/>
      <c r="I33" s="43"/>
      <c r="J33" s="44"/>
      <c r="L33" s="36"/>
      <c r="M33" s="36"/>
      <c r="N33" s="36"/>
      <c r="O33" s="36"/>
      <c r="P33" s="36"/>
      <c r="Q33" s="36"/>
      <c r="R33" s="36"/>
      <c r="S33" s="36"/>
      <c r="T33" s="36"/>
    </row>
    <row r="34" spans="1:20" ht="16.5" customHeight="1" x14ac:dyDescent="0.2">
      <c r="A34" s="277">
        <f>1+A30</f>
        <v>20</v>
      </c>
      <c r="B34" s="330" t="s">
        <v>137</v>
      </c>
      <c r="C34" s="331"/>
      <c r="D34" s="337"/>
      <c r="E34" s="338"/>
      <c r="F34" s="339"/>
      <c r="G34" s="337"/>
      <c r="H34" s="340"/>
      <c r="I34" s="43"/>
      <c r="J34" s="44"/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16.5" customHeight="1" x14ac:dyDescent="0.2">
      <c r="A35" s="277">
        <f t="shared" ref="A35:A44" si="2">1+A34</f>
        <v>21</v>
      </c>
      <c r="B35" s="347" t="s">
        <v>103</v>
      </c>
      <c r="C35" s="348"/>
      <c r="D35" s="213"/>
      <c r="E35" s="220" t="s">
        <v>3</v>
      </c>
      <c r="F35" s="221"/>
      <c r="G35" s="213"/>
      <c r="H35" s="104" t="s">
        <v>3</v>
      </c>
      <c r="I35" s="43"/>
      <c r="J35" s="44"/>
      <c r="L35" s="36"/>
      <c r="M35" s="36"/>
      <c r="N35" s="36"/>
      <c r="O35" s="36"/>
      <c r="P35" s="36"/>
      <c r="Q35" s="36"/>
      <c r="R35" s="36"/>
      <c r="S35" s="36"/>
      <c r="T35" s="36"/>
    </row>
    <row r="36" spans="1:20" ht="16.5" customHeight="1" x14ac:dyDescent="0.2">
      <c r="A36" s="277">
        <f t="shared" si="2"/>
        <v>22</v>
      </c>
      <c r="B36" s="308" t="s">
        <v>54</v>
      </c>
      <c r="C36" s="309"/>
      <c r="D36" s="213"/>
      <c r="E36" s="118" t="s">
        <v>9</v>
      </c>
      <c r="F36" s="104"/>
      <c r="G36" s="213"/>
      <c r="H36" s="104" t="s">
        <v>9</v>
      </c>
      <c r="I36" s="43"/>
      <c r="J36" s="44"/>
      <c r="L36" s="36"/>
      <c r="M36" s="36"/>
      <c r="N36" s="36"/>
      <c r="O36" s="36"/>
      <c r="P36" s="36"/>
      <c r="Q36" s="36"/>
      <c r="R36" s="36"/>
      <c r="S36" s="36"/>
      <c r="T36" s="36"/>
    </row>
    <row r="37" spans="1:20" ht="16.5" customHeight="1" x14ac:dyDescent="0.2">
      <c r="A37" s="277">
        <f t="shared" si="2"/>
        <v>23</v>
      </c>
      <c r="B37" s="308" t="s">
        <v>55</v>
      </c>
      <c r="C37" s="309"/>
      <c r="D37" s="214"/>
      <c r="E37" s="118" t="s">
        <v>8</v>
      </c>
      <c r="F37" s="104"/>
      <c r="G37" s="214"/>
      <c r="H37" s="104" t="s">
        <v>8</v>
      </c>
      <c r="I37" s="45"/>
      <c r="J37" s="45"/>
      <c r="L37" s="36"/>
      <c r="M37" s="36"/>
      <c r="N37" s="36"/>
      <c r="O37" s="36"/>
      <c r="P37" s="36"/>
      <c r="Q37" s="36"/>
      <c r="R37" s="36"/>
      <c r="S37" s="36"/>
      <c r="T37" s="36"/>
    </row>
    <row r="38" spans="1:20" ht="16.5" customHeight="1" x14ac:dyDescent="0.2">
      <c r="A38" s="277">
        <f t="shared" si="2"/>
        <v>24</v>
      </c>
      <c r="B38" s="308" t="s">
        <v>51</v>
      </c>
      <c r="C38" s="309"/>
      <c r="D38" s="213"/>
      <c r="E38" s="119" t="s">
        <v>72</v>
      </c>
      <c r="F38" s="105"/>
      <c r="G38" s="213"/>
      <c r="H38" s="105" t="s">
        <v>72</v>
      </c>
      <c r="L38" s="36"/>
      <c r="M38" s="36"/>
      <c r="N38" s="36"/>
      <c r="O38" s="36"/>
      <c r="P38" s="36"/>
      <c r="Q38" s="36"/>
      <c r="R38" s="36"/>
      <c r="S38" s="36"/>
      <c r="T38" s="36"/>
    </row>
    <row r="39" spans="1:20" ht="16.5" customHeight="1" x14ac:dyDescent="0.2">
      <c r="A39" s="277">
        <f t="shared" si="2"/>
        <v>25</v>
      </c>
      <c r="B39" s="349" t="s">
        <v>113</v>
      </c>
      <c r="C39" s="350"/>
      <c r="D39" s="213"/>
      <c r="E39" s="118" t="s">
        <v>6</v>
      </c>
      <c r="F39" s="104"/>
      <c r="G39" s="213"/>
      <c r="H39" s="104" t="s">
        <v>6</v>
      </c>
      <c r="I39" s="39"/>
      <c r="J39" s="47"/>
      <c r="L39" s="36"/>
      <c r="M39" s="36"/>
      <c r="N39" s="36"/>
      <c r="O39" s="36"/>
      <c r="P39" s="36"/>
      <c r="Q39" s="36"/>
      <c r="R39" s="36"/>
      <c r="S39" s="36"/>
      <c r="T39" s="36"/>
    </row>
    <row r="40" spans="1:20" ht="16.5" customHeight="1" x14ac:dyDescent="0.2">
      <c r="A40" s="277">
        <f t="shared" si="2"/>
        <v>26</v>
      </c>
      <c r="B40" s="315" t="s">
        <v>114</v>
      </c>
      <c r="C40" s="316"/>
      <c r="D40" s="215">
        <f>IF(AND(ISNUMBER(počet_kolektorů),ISNUMBER(Vztažná_plocha_kolektoru)),(Vztažná_plocha_kolektoru*počet_kolektorů),0)</f>
        <v>0</v>
      </c>
      <c r="E40" s="118" t="s">
        <v>6</v>
      </c>
      <c r="F40" s="104"/>
      <c r="G40" s="215">
        <f>IF(AND(ISNUMBER(počet_kolektorů_2),ISNUMBER(vztažná_plocha_kol_2)),(vztažná_plocha_kol_2*počet_kolektorů_2),0)</f>
        <v>0</v>
      </c>
      <c r="H40" s="104" t="s">
        <v>6</v>
      </c>
      <c r="I40" s="39"/>
      <c r="J40" s="47"/>
      <c r="L40" s="36"/>
      <c r="M40" s="36"/>
      <c r="N40" s="36"/>
      <c r="O40" s="36"/>
      <c r="P40" s="36"/>
      <c r="Q40" s="36"/>
      <c r="R40" s="36"/>
      <c r="S40" s="36"/>
      <c r="T40" s="36"/>
    </row>
    <row r="41" spans="1:20" ht="16.5" customHeight="1" x14ac:dyDescent="0.2">
      <c r="A41" s="277">
        <f t="shared" si="2"/>
        <v>27</v>
      </c>
      <c r="B41" s="192" t="s">
        <v>116</v>
      </c>
      <c r="C41" s="219"/>
      <c r="D41" s="213"/>
      <c r="E41" s="118" t="s">
        <v>115</v>
      </c>
      <c r="F41" s="104"/>
      <c r="G41" s="213"/>
      <c r="H41" s="104" t="s">
        <v>6</v>
      </c>
      <c r="I41" s="39"/>
      <c r="J41" s="47"/>
      <c r="L41" s="36"/>
      <c r="M41" s="36"/>
      <c r="N41" s="36"/>
      <c r="O41" s="36"/>
      <c r="P41" s="36"/>
      <c r="Q41" s="36"/>
      <c r="R41" s="36"/>
      <c r="S41" s="36"/>
      <c r="T41" s="36"/>
    </row>
    <row r="42" spans="1:20" ht="16.5" customHeight="1" x14ac:dyDescent="0.2">
      <c r="A42" s="277">
        <f t="shared" si="2"/>
        <v>28</v>
      </c>
      <c r="B42" s="298" t="s">
        <v>57</v>
      </c>
      <c r="C42" s="299"/>
      <c r="D42" s="216" t="str">
        <f>IF(D11=1,IF(AND(ISNUMBER(osoby),ISNUMBER((Celková_vztažná_plocha+celk_vtazna_pl_2)),ISNUMBER(Q_p.c)),(25+11000*((Celková_vztažná_plocha+celk_vtazna_pl_2)/Q_p.c)),""),IF(D11=2,IF(AND(ISNUMBER(osoby),ISNUMBER((Celková_vztažná_plocha+celk_vtazna_pl_2)),ISNUMBER(Q_p.c),ISNUMBER(t_w1.N)),(35+(8000*((Celková_vztažná_plocha+celk_vtazna_pl_2)/Q_p.c))+(0.2*(t_w1.N-35))),""),""))</f>
        <v/>
      </c>
      <c r="E42" s="119" t="s">
        <v>0</v>
      </c>
      <c r="F42" s="105"/>
      <c r="G42" s="216" t="str">
        <f>IF(D11=1,IF(AND(ISNUMBER(osoby),ISNUMBER(celk_vtazna_pl_2),ISNUMBER(Q_p.c)),(25+11000*(celk_vtazna_pl_2/Q_p.c)),""),IF(D11=2,IF(AND(ISNUMBER(osoby),ISNUMBER(celk_vtazna_pl_2),ISNUMBER(Q_p.c),ISNUMBER(t_w1.N)),(35+(8000*(celk_vtazna_pl_2/Q_p.c))+(0.2*(t_w1.N-35))),""),""))</f>
        <v/>
      </c>
      <c r="H42" s="105" t="s">
        <v>0</v>
      </c>
      <c r="I42" s="46"/>
      <c r="J42" s="47"/>
      <c r="L42" s="36"/>
      <c r="M42" s="36"/>
      <c r="N42" s="36"/>
      <c r="O42" s="36"/>
      <c r="P42" s="36"/>
      <c r="Q42" s="36"/>
      <c r="R42" s="36"/>
      <c r="S42" s="36"/>
      <c r="T42" s="36"/>
    </row>
    <row r="43" spans="1:20" ht="16.5" customHeight="1" x14ac:dyDescent="0.2">
      <c r="A43" s="277">
        <f t="shared" si="2"/>
        <v>29</v>
      </c>
      <c r="B43" s="308" t="s">
        <v>135</v>
      </c>
      <c r="C43" s="309"/>
      <c r="D43" s="217">
        <v>4</v>
      </c>
      <c r="E43" s="113" t="s">
        <v>29</v>
      </c>
      <c r="F43" s="106"/>
      <c r="G43" s="217">
        <v>4</v>
      </c>
      <c r="H43" s="106" t="s">
        <v>29</v>
      </c>
      <c r="I43" s="46"/>
      <c r="L43" s="36"/>
      <c r="M43" s="36"/>
      <c r="N43" s="36"/>
      <c r="O43" s="36"/>
      <c r="P43" s="36"/>
      <c r="Q43" s="36"/>
      <c r="R43" s="36"/>
      <c r="S43" s="36"/>
      <c r="T43" s="36"/>
    </row>
    <row r="44" spans="1:20" ht="17.45" customHeight="1" thickBot="1" x14ac:dyDescent="0.25">
      <c r="A44" s="277">
        <f t="shared" si="2"/>
        <v>30</v>
      </c>
      <c r="B44" s="310" t="s">
        <v>136</v>
      </c>
      <c r="C44" s="311"/>
      <c r="D44" s="218">
        <v>1</v>
      </c>
      <c r="E44" s="120" t="s">
        <v>29</v>
      </c>
      <c r="F44" s="107"/>
      <c r="G44" s="218">
        <v>1</v>
      </c>
      <c r="H44" s="107" t="s">
        <v>29</v>
      </c>
      <c r="L44" s="36"/>
      <c r="M44" s="36"/>
      <c r="N44" s="36"/>
      <c r="O44" s="36"/>
      <c r="P44" s="36"/>
      <c r="Q44" s="36"/>
      <c r="R44" s="36"/>
      <c r="S44" s="36"/>
      <c r="T44" s="36"/>
    </row>
    <row r="45" spans="1:20" ht="9" customHeight="1" thickBot="1" x14ac:dyDescent="0.25">
      <c r="L45" s="36"/>
      <c r="M45" s="36"/>
      <c r="N45" s="36"/>
      <c r="O45" s="36"/>
      <c r="P45" s="36"/>
      <c r="Q45" s="36"/>
      <c r="R45" s="36"/>
      <c r="S45" s="36"/>
      <c r="T45" s="36"/>
    </row>
    <row r="46" spans="1:20" ht="16.5" customHeight="1" thickBot="1" x14ac:dyDescent="0.25">
      <c r="B46" s="264" t="s">
        <v>84</v>
      </c>
      <c r="C46" s="265"/>
      <c r="D46" s="270"/>
      <c r="E46" s="270"/>
      <c r="F46" s="270"/>
      <c r="G46" s="270"/>
      <c r="H46" s="271"/>
      <c r="L46" s="36"/>
      <c r="M46" s="36"/>
      <c r="N46" s="36"/>
      <c r="O46" s="36"/>
      <c r="P46" s="36"/>
      <c r="Q46" s="36"/>
      <c r="R46" s="36"/>
      <c r="S46" s="36"/>
      <c r="T46" s="36"/>
    </row>
    <row r="47" spans="1:20" ht="16.5" customHeight="1" x14ac:dyDescent="0.2">
      <c r="A47" s="277">
        <f>1+A44</f>
        <v>31</v>
      </c>
      <c r="B47" s="312" t="s">
        <v>79</v>
      </c>
      <c r="C47" s="313"/>
      <c r="D47" s="100">
        <f>IF(ISNUMBER(D21),+'Výpočtová část'!T18,"")</f>
        <v>0</v>
      </c>
      <c r="E47" s="121" t="s">
        <v>39</v>
      </c>
      <c r="F47" s="288"/>
      <c r="G47" s="288"/>
      <c r="H47" s="289"/>
      <c r="L47" s="36"/>
      <c r="M47" s="36"/>
      <c r="N47" s="36"/>
      <c r="O47" s="36"/>
      <c r="P47" s="36"/>
      <c r="Q47" s="36"/>
      <c r="R47" s="36"/>
      <c r="S47" s="36"/>
      <c r="T47" s="36"/>
    </row>
    <row r="48" spans="1:20" ht="16.5" customHeight="1" x14ac:dyDescent="0.2">
      <c r="A48" s="277">
        <f t="shared" ref="A48:A54" si="3">1+A47</f>
        <v>32</v>
      </c>
      <c r="B48" s="296" t="s">
        <v>83</v>
      </c>
      <c r="C48" s="297"/>
      <c r="D48" s="124" t="str">
        <f>IF(C9=1,IF(D11=2,IF(ISNUMBER('Výpočtová část'!U18),'Výpočtová část'!U18,""),""),"")</f>
        <v/>
      </c>
      <c r="E48" s="125" t="s">
        <v>39</v>
      </c>
      <c r="F48" s="286" t="str">
        <f>IF(AND(C9=2,D11=2),"Pro bytové domy není relevantní, nutno zadat oblast SOL !","")</f>
        <v/>
      </c>
      <c r="G48" s="286"/>
      <c r="H48" s="287"/>
      <c r="L48" s="36"/>
      <c r="M48" s="36"/>
      <c r="N48" s="36"/>
      <c r="O48" s="36"/>
      <c r="P48" s="36"/>
      <c r="Q48" s="36"/>
      <c r="R48" s="36"/>
      <c r="S48" s="36"/>
      <c r="T48" s="36"/>
    </row>
    <row r="49" spans="1:20" ht="16.5" customHeight="1" x14ac:dyDescent="0.3">
      <c r="A49" s="277">
        <f t="shared" si="3"/>
        <v>33</v>
      </c>
      <c r="B49" s="345" t="s">
        <v>105</v>
      </c>
      <c r="C49" s="346"/>
      <c r="D49" s="123" t="str">
        <f>IF(D11=1,IF(AND(ISNUMBER(osoby),ISNUMBER(Objem_AKU),ISNUMBER(ný_0),ISNUMBER(a_1),ISNUMBER(a_2),ISNUMBER(počet_kolektorů),ISNUMBER(Vztažná_plocha_kolektoru),ISNUMBER(Plocha_apertury),ISNUMBER('Výpočtová část'!AA21)),FLOOR(+'Výpočtová část'!AA21,1),""),IF(D11=2,IF(E25=1,IF(AND(ISNUMBER('Výpočtová část'!AB6),ISNUMBER('Výpočtová část'!AB7),ISNUMBER('Výpočtová část'!AB8),ISNUMBER('Výpočtová část'!AB9),ISNUMBER('Výpočtová část'!AB10),ISNUMBER('Výpočtová část'!AB11),ISNUMBER('Výpočtová část'!AB12),ISNUMBER('Výpočtová část'!AB13),ISNUMBER('Výpočtová část'!AB14),ISNUMBER('Výpočtová část'!AB15),ISNUMBER('Výpočtová část'!AB16),ISNUMBER('Výpočtová část'!AB17),ISNUMBER(ný_0),ISNUMBER(a_1),ISNUMBER(a_2),ISNUMBER(t_w1.N),ISNUMBER(počet_kolektorů),ISNUMBER(Vztažná_plocha_kolektoru),ISNUMBER(Plocha_apertury),ISNUMBER(osoby),ISNUMBER(Objem_AKU),ISNUMBER('Výpočtová část'!AA21)),FLOOR(+'Výpočtová část'!AA21,1),""),IF(E25=2,IF(AND(ISNUMBER(Q_z),ISNUMBER(T_i),ISNUMBER(T_e),ISNUMBER(ný_0),ISNUMBER(a_1),ISNUMBER(a_2),ISNUMBER(počet_kolektorů),ISNUMBER(Vztažná_plocha_kolektoru),ISNUMBER(Plocha_apertury),ISNUMBER(t_w1.N),ISNUMBER(osoby),ISNUMBER(Objem_AKU),ISNUMBER('Výpočtová část'!AA21)),FLOOR(+'Výpočtová část'!AA21,1),""),"")),""))</f>
        <v/>
      </c>
      <c r="E49" s="152" t="s">
        <v>52</v>
      </c>
      <c r="F49" s="294"/>
      <c r="G49" s="294"/>
      <c r="H49" s="295"/>
      <c r="L49" s="36"/>
      <c r="M49" s="36"/>
      <c r="N49" s="36"/>
      <c r="O49" s="36"/>
      <c r="P49" s="36"/>
      <c r="Q49" s="36"/>
      <c r="R49" s="36"/>
      <c r="S49" s="36"/>
      <c r="T49" s="36"/>
    </row>
    <row r="50" spans="1:20" ht="16.5" customHeight="1" x14ac:dyDescent="0.3">
      <c r="A50" s="277">
        <f t="shared" si="3"/>
        <v>34</v>
      </c>
      <c r="B50" s="319" t="s">
        <v>106</v>
      </c>
      <c r="C50" s="320"/>
      <c r="D50" s="101" t="str">
        <f>IF(D11=1,IF(AND(ISNUMBER(osoby),ISNUMBER(Objem_AKU),ISNUMBER(ný_0),ISNUMBER(a_1),ISNUMBER(a_2),ISNUMBER(počet_kolektorů),ISNUMBER(Vztažná_plocha_kolektoru),ISNUMBER('Výpočtová část'!AA23)),FLOOR(+'Výpočtová část'!AA23,1),""),IF(D11=2,IF(E25=1,IF(AND(ISNUMBER('Výpočtová část'!AB6),ISNUMBER('Výpočtová část'!AB7),ISNUMBER('Výpočtová část'!AB8),ISNUMBER('Výpočtová část'!AB9),ISNUMBER('Výpočtová část'!AB10),ISNUMBER('Výpočtová část'!AB11),ISNUMBER('Výpočtová část'!AB12),ISNUMBER('Výpočtová část'!AB13),ISNUMBER('Výpočtová část'!AB14),ISNUMBER('Výpočtová část'!AB15),ISNUMBER('Výpočtová část'!AB16),ISNUMBER('Výpočtová část'!AB17),ISNUMBER(ný_0),ISNUMBER(a_1),ISNUMBER(a_2),ISNUMBER(t_w1.N),ISNUMBER(počet_kolektorů),ISNUMBER(Vztažná_plocha_kolektoru),ISNUMBER(osoby),ISNUMBER(Objem_AKU),ISNUMBER('Výpočtová část'!AA23)),FLOOR(+'Výpočtová část'!AA23,1),""),IF(E25=2,IF(AND(ISNUMBER(Q_z),ISNUMBER(T_i),ISNUMBER(T_e),ISNUMBER(ný_0),ISNUMBER(a_1),ISNUMBER(a_2),ISNUMBER(počet_kolektorů),ISNUMBER(Vztažná_plocha_kolektoru),ISNUMBER(t_w1.N),ISNUMBER(osoby),ISNUMBER(Objem_AKU),ISNUMBER('Výpočtová část'!AA23)),FLOOR(+'Výpočtová část'!AA23,1),""),"")),""))</f>
        <v/>
      </c>
      <c r="E50" s="119" t="s">
        <v>39</v>
      </c>
      <c r="F50" s="292"/>
      <c r="G50" s="292"/>
      <c r="H50" s="293"/>
      <c r="L50" s="36"/>
      <c r="M50" s="36"/>
      <c r="N50" s="36"/>
      <c r="O50" s="36"/>
      <c r="P50" s="36"/>
      <c r="Q50" s="36"/>
      <c r="R50" s="36"/>
      <c r="S50" s="36"/>
      <c r="T50" s="36"/>
    </row>
    <row r="51" spans="1:20" ht="16.5" customHeight="1" x14ac:dyDescent="0.25">
      <c r="A51" s="277">
        <f t="shared" si="3"/>
        <v>35</v>
      </c>
      <c r="B51" s="319" t="s">
        <v>81</v>
      </c>
      <c r="C51" s="320"/>
      <c r="D51" s="101" t="str">
        <f>IF(D11=1,IF(AND(ISNUMBER(osoby),ISNUMBER(Objem_AKU),ISNUMBER(ný_0),ISNUMBER(a_1),ISNUMBER(a_2),ISNUMBER(počet_kolektorů),ISNUMBER(Vztažná_plocha_kolektoru),ISNUMBER('Výpočtová část'!AA22)),FLOOR(+'Výpočtová část'!AA22,1),""),IF(D11=2,IF(E25=1,IF(AND(ISNUMBER('Výpočtová část'!AB6),ISNUMBER('Výpočtová část'!AB7),ISNUMBER('Výpočtová část'!AB8),ISNUMBER('Výpočtová část'!AB9),ISNUMBER('Výpočtová část'!AB10),ISNUMBER('Výpočtová část'!AB11),ISNUMBER('Výpočtová část'!AB12),ISNUMBER('Výpočtová část'!AB13),ISNUMBER('Výpočtová část'!AB14),ISNUMBER('Výpočtová část'!AB15),ISNUMBER('Výpočtová část'!AB16),ISNUMBER('Výpočtová část'!AB17),ISNUMBER(ný_0),ISNUMBER(a_1),ISNUMBER(a_2),ISNUMBER(t_w1.N),ISNUMBER(počet_kolektorů),ISNUMBER(Vztažná_plocha_kolektoru),ISNUMBER(osoby),ISNUMBER(Objem_AKU),ISNUMBER('Výpočtová část'!AA22)),FLOOR(+'Výpočtová část'!AA22,1),""),IF(E25=2,IF(AND(ISNUMBER(Q_z),ISNUMBER(T_i),ISNUMBER(T_e),ISNUMBER(ný_0),ISNUMBER(a_1),ISNUMBER(a_2),ISNUMBER(počet_kolektorů),ISNUMBER(Vztažná_plocha_kolektoru),ISNUMBER(t_w1.N),ISNUMBER(osoby),ISNUMBER(Objem_AKU),ISNUMBER('Výpočtová část'!AA22)),FLOOR(+'Výpočtová část'!AA22,1),""),"")),""))</f>
        <v/>
      </c>
      <c r="E51" s="119" t="s">
        <v>5</v>
      </c>
      <c r="F51" s="292"/>
      <c r="G51" s="292"/>
      <c r="H51" s="293"/>
      <c r="L51" s="36"/>
      <c r="M51" s="36"/>
      <c r="N51" s="36"/>
      <c r="O51" s="36"/>
      <c r="P51" s="36"/>
      <c r="Q51" s="36"/>
      <c r="R51" s="36"/>
      <c r="S51" s="36"/>
      <c r="T51" s="36"/>
    </row>
    <row r="52" spans="1:20" ht="16.5" customHeight="1" x14ac:dyDescent="0.25">
      <c r="A52" s="277">
        <f t="shared" si="3"/>
        <v>36</v>
      </c>
      <c r="B52" s="319" t="s">
        <v>184</v>
      </c>
      <c r="C52" s="320"/>
      <c r="D52" s="191" t="str">
        <f>IF(OR(počet_kolektorů&gt;0,počet_kolektorů_2&gt;0),(počet_kolektorů*Plocha_apertury+počet_kolektorů_2*Plocha_apertury_2),"")</f>
        <v/>
      </c>
      <c r="E52" s="190" t="s">
        <v>6</v>
      </c>
      <c r="F52" s="235" t="str">
        <f>IF(ISNUMBER(D52),IF(C9=1,IF(AND(D11=1,D52&gt;=1.8),"VYHOVUJE podmínkám programu pro oblast SOL",IF(AND(D11=2,D52&gt;=3.6),"VYHOVUJE podmínkám programu pro oblast SOL+","NEVYHOVUJE podmínkám programu pro zvolenou oblast")),""),"")</f>
        <v/>
      </c>
      <c r="G52" s="235"/>
      <c r="H52" s="236"/>
      <c r="L52" s="36"/>
      <c r="M52" s="36"/>
      <c r="N52" s="36"/>
      <c r="O52" s="36"/>
      <c r="P52" s="36"/>
      <c r="Q52" s="36"/>
      <c r="R52" s="36"/>
      <c r="S52" s="36"/>
      <c r="T52" s="36"/>
    </row>
    <row r="53" spans="1:20" ht="16.5" customHeight="1" x14ac:dyDescent="0.25">
      <c r="A53" s="277">
        <f t="shared" si="3"/>
        <v>37</v>
      </c>
      <c r="B53" s="188" t="s">
        <v>138</v>
      </c>
      <c r="C53" s="189"/>
      <c r="D53" s="191">
        <f>IF(AND(ISNUMBER(ný_0),ISNUMBER(Vztažná_plocha_kolektoru),ISNUMBER(počet_kolektorů)),počet_kolektorů*Vztažná_plocha_kolektoru*ný_0,0)+IF(AND(ISNUMBER(ný_02),ISNUMBER(vztažná_plocha_kol_2),ISNUMBER(počet_kolektorů_2)),počet_kolektorů_2*vztažná_plocha_kol_2*ný_02,0)</f>
        <v>0</v>
      </c>
      <c r="E53" s="190" t="s">
        <v>10</v>
      </c>
      <c r="F53" s="284"/>
      <c r="G53" s="284"/>
      <c r="H53" s="285"/>
      <c r="L53" s="36"/>
      <c r="M53" s="36"/>
      <c r="N53" s="36"/>
      <c r="O53" s="36"/>
      <c r="P53" s="36"/>
      <c r="Q53" s="36"/>
      <c r="R53" s="36"/>
      <c r="S53" s="36"/>
      <c r="T53" s="36"/>
    </row>
    <row r="54" spans="1:20" ht="16.5" customHeight="1" thickBot="1" x14ac:dyDescent="0.3">
      <c r="A54" s="277">
        <f t="shared" si="3"/>
        <v>38</v>
      </c>
      <c r="B54" s="343" t="s">
        <v>99</v>
      </c>
      <c r="C54" s="344"/>
      <c r="D54" s="102" t="str">
        <f>IF(ISNUMBER(D52),IF(C9=1,45*(Plocha_apertury*počet_kolektorů+Plocha_apertury_2*počet_kolektorů_2),40*D53),"")</f>
        <v/>
      </c>
      <c r="E54" s="122" t="s">
        <v>87</v>
      </c>
      <c r="F54" s="341" t="str">
        <f>IF(ISNUMBER(D54),IF(D54&lt;=Objem_AKU,"Vyhovuje podmínkám programu","NEVYHOVUJE podmínkám programu"),"")</f>
        <v/>
      </c>
      <c r="G54" s="341"/>
      <c r="H54" s="342"/>
      <c r="L54" s="36"/>
      <c r="M54" s="36"/>
      <c r="N54" s="36"/>
      <c r="O54" s="36"/>
      <c r="P54" s="36"/>
      <c r="Q54" s="36"/>
      <c r="R54" s="36"/>
      <c r="S54" s="36"/>
      <c r="T54" s="36"/>
    </row>
    <row r="55" spans="1:20" ht="16.5" customHeight="1" x14ac:dyDescent="0.2">
      <c r="L55" s="36"/>
      <c r="M55" s="36"/>
      <c r="N55" s="36"/>
      <c r="O55" s="36"/>
      <c r="P55" s="36"/>
      <c r="Q55" s="36"/>
      <c r="R55" s="36"/>
      <c r="S55" s="36"/>
      <c r="T55" s="36"/>
    </row>
    <row r="56" spans="1:20" ht="21" customHeight="1" x14ac:dyDescent="0.2">
      <c r="A56" s="277">
        <f>1+A54</f>
        <v>39</v>
      </c>
      <c r="B56" s="209" t="s">
        <v>124</v>
      </c>
      <c r="C56" s="329" t="s">
        <v>125</v>
      </c>
      <c r="D56" s="329"/>
      <c r="E56" s="329"/>
      <c r="F56" s="329"/>
      <c r="G56" s="329"/>
      <c r="H56" s="262"/>
      <c r="L56" s="36"/>
      <c r="M56" s="36"/>
      <c r="N56" s="36"/>
      <c r="O56" s="36"/>
      <c r="P56" s="36"/>
      <c r="Q56" s="36"/>
      <c r="R56" s="36"/>
      <c r="S56" s="36"/>
      <c r="T56" s="36"/>
    </row>
    <row r="57" spans="1:20" ht="21" customHeight="1" x14ac:dyDescent="0.2">
      <c r="B57" s="38"/>
      <c r="C57" s="38"/>
      <c r="D57" s="38"/>
      <c r="E57" s="38"/>
      <c r="F57" s="38"/>
      <c r="G57" s="38"/>
      <c r="H57" s="38"/>
      <c r="L57" s="36"/>
      <c r="M57" s="36"/>
      <c r="N57" s="36"/>
      <c r="O57" s="36"/>
      <c r="P57" s="36"/>
      <c r="Q57" s="36"/>
      <c r="R57" s="36"/>
      <c r="S57" s="36"/>
      <c r="T57" s="36"/>
    </row>
    <row r="58" spans="1:20" ht="15.75" customHeight="1" x14ac:dyDescent="0.2">
      <c r="B58" s="38"/>
      <c r="C58" s="38"/>
      <c r="D58" s="38"/>
      <c r="E58" s="38"/>
      <c r="F58" s="38"/>
      <c r="G58" s="38"/>
      <c r="H58" s="38"/>
      <c r="L58" s="36"/>
      <c r="M58" s="36"/>
      <c r="N58" s="36"/>
      <c r="O58" s="36"/>
      <c r="P58" s="36"/>
      <c r="Q58" s="36"/>
      <c r="R58" s="36"/>
      <c r="S58" s="36"/>
      <c r="T58" s="36"/>
    </row>
    <row r="59" spans="1:20" ht="16.5" customHeight="1" x14ac:dyDescent="0.2">
      <c r="B59" s="276"/>
      <c r="F59" s="317"/>
      <c r="G59" s="317"/>
      <c r="H59" s="317"/>
      <c r="L59" s="36"/>
      <c r="M59" s="36"/>
      <c r="N59" s="36"/>
      <c r="O59" s="36"/>
      <c r="P59" s="36"/>
      <c r="Q59" s="36"/>
      <c r="R59" s="36"/>
      <c r="S59" s="36"/>
      <c r="T59" s="36"/>
    </row>
    <row r="60" spans="1:20" ht="16.5" customHeight="1" x14ac:dyDescent="0.2">
      <c r="B60" s="196" t="s">
        <v>107</v>
      </c>
      <c r="D60" s="176"/>
      <c r="F60" s="314" t="s">
        <v>111</v>
      </c>
      <c r="G60" s="314"/>
      <c r="H60" s="314"/>
    </row>
    <row r="61" spans="1:20" ht="16.5" customHeight="1" x14ac:dyDescent="0.2">
      <c r="F61" s="305"/>
      <c r="G61" s="305"/>
      <c r="H61" s="305"/>
      <c r="I61" s="93"/>
    </row>
    <row r="62" spans="1:20" x14ac:dyDescent="0.2"/>
    <row r="63" spans="1:20" ht="15" x14ac:dyDescent="0.2">
      <c r="B63" s="278"/>
    </row>
  </sheetData>
  <sheetProtection algorithmName="SHA-512" hashValue="RgnbSEit3KkCjRuhe059SBoTeZbwOoDdDnZQfqSc11m5ydBVfci0rNetHgsmt0oHKd93t1Zx+rMw0+lMHoRbGA==" saltValue="+t5PNJ19l90eYn97Na1vpg==" spinCount="100000" sheet="1" objects="1" scenarios="1"/>
  <mergeCells count="48">
    <mergeCell ref="C7:D7"/>
    <mergeCell ref="C8:D8"/>
    <mergeCell ref="C56:G56"/>
    <mergeCell ref="B52:C52"/>
    <mergeCell ref="B34:C34"/>
    <mergeCell ref="G33:H33"/>
    <mergeCell ref="D33:F33"/>
    <mergeCell ref="D34:F34"/>
    <mergeCell ref="G34:H34"/>
    <mergeCell ref="F54:H54"/>
    <mergeCell ref="B54:C54"/>
    <mergeCell ref="B49:C49"/>
    <mergeCell ref="B51:C51"/>
    <mergeCell ref="B50:C50"/>
    <mergeCell ref="B35:C35"/>
    <mergeCell ref="B39:C39"/>
    <mergeCell ref="F61:H61"/>
    <mergeCell ref="D6:H6"/>
    <mergeCell ref="B43:C43"/>
    <mergeCell ref="B44:C44"/>
    <mergeCell ref="B47:C47"/>
    <mergeCell ref="F60:H60"/>
    <mergeCell ref="B36:C36"/>
    <mergeCell ref="B37:C37"/>
    <mergeCell ref="B38:C38"/>
    <mergeCell ref="B40:C40"/>
    <mergeCell ref="F59:H59"/>
    <mergeCell ref="B21:C21"/>
    <mergeCell ref="B20:C20"/>
    <mergeCell ref="B12:C12"/>
    <mergeCell ref="G7:H7"/>
    <mergeCell ref="G8:H8"/>
    <mergeCell ref="G2:H5"/>
    <mergeCell ref="B2:F3"/>
    <mergeCell ref="D9:G9"/>
    <mergeCell ref="F53:H53"/>
    <mergeCell ref="F48:H48"/>
    <mergeCell ref="F47:H47"/>
    <mergeCell ref="B22:C22"/>
    <mergeCell ref="F51:H51"/>
    <mergeCell ref="F50:H50"/>
    <mergeCell ref="F49:H49"/>
    <mergeCell ref="B48:C48"/>
    <mergeCell ref="B42:C42"/>
    <mergeCell ref="B25:C25"/>
    <mergeCell ref="B28:C28"/>
    <mergeCell ref="B27:C27"/>
    <mergeCell ref="B30:C30"/>
  </mergeCells>
  <phoneticPr fontId="0" type="noConversion"/>
  <dataValidations disablePrompts="1" count="26">
    <dataValidation type="decimal" allowBlank="1" showInputMessage="1" showErrorMessage="1" errorTitle="Špatný rozsah" error="Hodnota musí být od -21°C do -12°C" prompt="Výpočtová venkovní teplota vzduchu v °C. Buňka povoluje pouze rozsah od -21 °C do -12 °C." sqref="D28" xr:uid="{00000000-0002-0000-0100-000000000000}">
      <formula1>-21</formula1>
      <formula2>-12</formula2>
    </dataValidation>
    <dataValidation type="decimal" allowBlank="1" showInputMessage="1" showErrorMessage="1" errorTitle="Špatný rozsah" error="hodnota musí být od +15°C do +24°C" prompt="Průměrná výpočtová vnitřní teplota vzduchu v °C. Buňka povoluje pouze rozsah od 15 °C do 24 °C." sqref="D27" xr:uid="{00000000-0002-0000-0100-000001000000}">
      <formula1>15</formula1>
      <formula2>24</formula2>
    </dataValidation>
    <dataValidation type="decimal" allowBlank="1" showInputMessage="1" showErrorMessage="1" errorTitle="Špatné zadání" error="Hodnota musí být mezi +5°C a +18°C" prompt="5 až 18 °C" sqref="D17" xr:uid="{00000000-0002-0000-0100-000002000000}">
      <formula1>5</formula1>
      <formula2>18</formula2>
    </dataValidation>
    <dataValidation type="decimal" allowBlank="1" showInputMessage="1" showErrorMessage="1" errorTitle="Špatné zadání rozsahu" error="Hodnota musí být od +19°C do +95°C" prompt="19 až 95 °C" sqref="D18" xr:uid="{00000000-0002-0000-0100-000003000000}">
      <formula1>19</formula1>
      <formula2>95</formula2>
    </dataValidation>
    <dataValidation type="decimal" allowBlank="1" showInputMessage="1" showErrorMessage="1" errorTitle="Špatné zadání rozsahu" error="Hodnota musí být od +25°C do +110°C" prompt="Vyplňuje se pouze při žádosti v oblasti podpory SOL+ - Solární systém pro přípravu teplé vody a přitápění._x000a__x000a_Jedná se o teplotu vody vstupující so otopné soustavy: 25 až 110 °C" sqref="D19" xr:uid="{00000000-0002-0000-0100-000004000000}">
      <formula1>25</formula1>
      <formula2>100</formula2>
    </dataValidation>
    <dataValidation allowBlank="1" showInputMessage="1" showErrorMessage="1" prompt="Uveďte reálnou obsazenost budovy." sqref="D12" xr:uid="{00000000-0002-0000-0100-000005000000}"/>
    <dataValidation allowBlank="1" showInputMessage="1" showErrorMessage="1" prompt="Tato hodnota se doplňuje automaticky po zadání všech požadovaných vstupních hodnot." sqref="B20:C20" xr:uid="{00000000-0002-0000-0100-000006000000}"/>
    <dataValidation allowBlank="1" showInputMessage="1" showErrorMessage="1" prompt="Přirážka pro zahrnutí tepelných ztrát souvisejících s přípravou teplé vody (rozvody TV a CV, zásobníkový ohřívač teplé vody)._x000a__x000a_Hodnota je automaticky doplněna po výběru typu přípravy TV z rozevíracího seznamu." sqref="B21:C21" xr:uid="{00000000-0002-0000-0100-000007000000}"/>
    <dataValidation allowBlank="1" showInputMessage="1" showErrorMessage="1" prompt="Objemem zásobníku se rozumí součet objemů všech kapalin uvnitř zásobníku, tj. včetně případných objemů vnořených výměníků tepla či zásobníků TV." sqref="D22" xr:uid="{00000000-0002-0000-0100-000008000000}"/>
    <dataValidation allowBlank="1" showInputMessage="1" showErrorMessage="1" prompt="Výpočtová tepelná ztráta objektu, v kW." sqref="D26" xr:uid="{00000000-0002-0000-0100-00000A000000}"/>
    <dataValidation allowBlank="1" showInputMessage="1" showErrorMessage="1" prompt="Tato volba nahrazuje sadu součinitelů e používaných v dennostupňové metodě. Hodnota se doplňuje automaticky volbou stupně energetické náročnosti budovy na vytápění podle tabulky B.1 v TNI 730302" sqref="C29" xr:uid="{00000000-0002-0000-0100-00000B000000}"/>
    <dataValidation allowBlank="1" showInputMessage="1" showErrorMessage="1" prompt="Tepelné ztráty spojené s provozem akumulačního zásobníku _x000a_pro vytápění paušálně přirážkou v = 5 %. Pokud není přitápění, potom 0 %." sqref="D30" xr:uid="{00000000-0002-0000-0100-00000C000000}"/>
    <dataValidation allowBlank="1" showInputMessage="1" showErrorMessage="1" prompt="Účinnost kolektoru při nulových tepelných ztrátách Je součástí protokolu o měření tepelného výkonu kolektoru podle ČSN EN 12975 (dle apertury) nebo podle ČSN EN ISO 9806 (dle hrubé plochy)." sqref="D35 G35" xr:uid="{00000000-0002-0000-0100-00000D000000}"/>
    <dataValidation allowBlank="1" showInputMessage="1" showErrorMessage="1" prompt="Lineární součinitel tepelné ztráty kolektoru a1 ve W/(m2.K). Je součástí protokolu o měření tepelného výkonu kolektoru podle ČSN EN 12975 nebo podle ČSN EN ISO 9806." sqref="D36 G36" xr:uid="{00000000-0002-0000-0100-00000E000000}"/>
    <dataValidation allowBlank="1" showInputMessage="1" showErrorMessage="1" prompt="Kvadratický součinitel tepelné ztráty kolektoru a2 ve W/(m2.K2). Je také součástí protokolu o měření tepelného výkonu kolektoru podle ČSN EN 12975 nebo podle ČSN EN ISO 9806." sqref="D37 G37" xr:uid="{00000000-0002-0000-0100-00000F000000}"/>
    <dataValidation allowBlank="1" showInputMessage="1" showErrorMessage="1" prompt="Počet instalovaných solárních kolektorů." sqref="D38 G38" xr:uid="{00000000-0002-0000-0100-000010000000}"/>
    <dataValidation allowBlank="1" showInputMessage="1" showErrorMessage="1" prompt="Vztažná plocha 1 ks solárního kolektoru.  _x000a__x000a_Jsou k ní vztaženy výše uvedené parametry solárních kolektorů. Dle použité normy pro měření se standardně zadává pro ČSN EN 12975 plocha apertury nebo pro ČSN EN ISO 9806 hrubá plocha kolektoru." sqref="D39 G39" xr:uid="{00000000-0002-0000-0100-000011000000}"/>
    <dataValidation allowBlank="1" showInputMessage="1" showErrorMessage="1" prompt="Hodnota se doplňuje automaticky po zadání všech požadovaných vstupních hodnat." sqref="D42 G42" xr:uid="{00000000-0002-0000-0100-000012000000}"/>
    <dataValidation allowBlank="1" showInputMessage="1" showErrorMessage="1" prompt="Sklon solárního kolektoru vůči vodorovné rovině." sqref="B43:C43" xr:uid="{00000000-0002-0000-0100-000013000000}"/>
    <dataValidation allowBlank="1" showInputMessage="1" showErrorMessage="1" prompt="Úhel odklonu průmětu normály plochy solárního kolektoru na vodorovnou rovinu od jihu, zjednodušeně odklon kolektoru vůči jihu." sqref="B44:C44" xr:uid="{00000000-0002-0000-0100-000014000000}"/>
    <dataValidation allowBlank="1" showInputMessage="1" showErrorMessage="1" prompt="Celkový využitelný zisk dělený instalovanou plochou apertury solárních kolektorů, výsledek výpočtu, uvádí se v kWh/(m2.rok)" sqref="D49" xr:uid="{00000000-0002-0000-0100-000015000000}"/>
    <dataValidation allowBlank="1" showInputMessage="1" showErrorMessage="1" prompt="Využitelný tepelný zisk solární soustavy ke krytí potřeby tepla v dané aplikaci. Ve využitém zisku nejsou zahrnuty nevyužitelné přebytky, např. v letním období,  uvádí se v kWh/.rok" sqref="D50" xr:uid="{00000000-0002-0000-0100-000016000000}"/>
    <dataValidation allowBlank="1" showInputMessage="1" showErrorMessage="1" prompt="Solární podíl  je procentní pokrytí potřeby tepla v dané aplikaci využitelnými tepelnými zisky ze solární soustavy v daném období (zde 1 rok), uvádí se v %" sqref="D51:D53" xr:uid="{00000000-0002-0000-0100-000017000000}"/>
    <dataValidation allowBlank="1" showInputMessage="1" showErrorMessage="1" prompt="_x000a_Minimální požadovaný objem solárního zásobníku vycházející z celkové plochy apertury solárních kolektorů podle požadavků Programu." sqref="D54" xr:uid="{00000000-0002-0000-0100-000018000000}"/>
    <dataValidation allowBlank="1" showInputMessage="1" showErrorMessage="1" prompt="Relevantní pouze pro systémy s přitápěním: SOL+_x000a_Při ANO do výpočtu vstupují hodnoty zadané na listu &quot;Výpočtová část&quot; získané externím výpočtem. _x000a_Pokud je zadáno NE, probíhá výpočet potřeby tepla pro vytápění dennostupňovou metodou dle hodnot níže." sqref="B25:C25" xr:uid="{00000000-0002-0000-0100-000019000000}"/>
    <dataValidation allowBlank="1" showInputMessage="1" showErrorMessage="1" prompt="Údaj je relevantní pouze pro žádosti na bytové domy." sqref="H9" xr:uid="{00000000-0002-0000-0100-00001A000000}"/>
  </dataValidations>
  <pageMargins left="0.47" right="0.66200980392156861" top="0.85562499999999997" bottom="0.42749999999999999" header="0.15748031496062992" footer="0.4"/>
  <pageSetup paperSize="9" scale="75" orientation="portrait" r:id="rId1"/>
  <headerFooter scaleWithDoc="0" alignWithMargins="0">
    <oddHeader>&amp;C&amp;G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6" r:id="rId5" name="Drop Down 18">
              <controlPr defaultSize="0" autoLine="0" autoPict="0">
                <anchor moveWithCells="1">
                  <from>
                    <xdr:col>4</xdr:col>
                    <xdr:colOff>19050</xdr:colOff>
                    <xdr:row>20</xdr:row>
                    <xdr:rowOff>9525</xdr:rowOff>
                  </from>
                  <to>
                    <xdr:col>7</xdr:col>
                    <xdr:colOff>1257300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6" name="Drop Down 25">
              <controlPr defaultSize="0" autoLine="0" autoPict="0">
                <anchor moveWithCells="1">
                  <from>
                    <xdr:col>3</xdr:col>
                    <xdr:colOff>9525</xdr:colOff>
                    <xdr:row>28</xdr:row>
                    <xdr:rowOff>9525</xdr:rowOff>
                  </from>
                  <to>
                    <xdr:col>7</xdr:col>
                    <xdr:colOff>1257300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7" name="Drop Down 43">
              <controlPr defaultSize="0" autoLine="0" autoPict="0">
                <anchor moveWithCells="1">
                  <from>
                    <xdr:col>3</xdr:col>
                    <xdr:colOff>0</xdr:colOff>
                    <xdr:row>24</xdr:row>
                    <xdr:rowOff>9525</xdr:rowOff>
                  </from>
                  <to>
                    <xdr:col>7</xdr:col>
                    <xdr:colOff>1257300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8" name="Drop Down 60">
              <controlPr defaultSize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7</xdr:col>
                    <xdr:colOff>1314450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9" name="Drop Down 20">
              <controlPr defaultSize="0" autoLine="0" autoPict="0">
                <anchor moveWithCells="1">
                  <from>
                    <xdr:col>3</xdr:col>
                    <xdr:colOff>0</xdr:colOff>
                    <xdr:row>42</xdr:row>
                    <xdr:rowOff>0</xdr:rowOff>
                  </from>
                  <to>
                    <xdr:col>4</xdr:col>
                    <xdr:colOff>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0" name="Drop Down 21">
              <controlPr defaultSize="0" autoLine="0" autoPict="0">
                <anchor moveWithCells="1">
                  <from>
                    <xdr:col>3</xdr:col>
                    <xdr:colOff>0</xdr:colOff>
                    <xdr:row>43</xdr:row>
                    <xdr:rowOff>9525</xdr:rowOff>
                  </from>
                  <to>
                    <xdr:col>4</xdr:col>
                    <xdr:colOff>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11" name="Drop Down 256">
              <controlPr defaultSize="0" autoLine="0" autoPict="0">
                <anchor mov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6</xdr:col>
                    <xdr:colOff>590550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2" name="Drop Down 257">
              <controlPr defaultSize="0" autoLine="0" autoPict="0">
                <anchor moveWithCells="1">
                  <from>
                    <xdr:col>6</xdr:col>
                    <xdr:colOff>0</xdr:colOff>
                    <xdr:row>43</xdr:row>
                    <xdr:rowOff>9525</xdr:rowOff>
                  </from>
                  <to>
                    <xdr:col>6</xdr:col>
                    <xdr:colOff>590550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13" name="Drop Down 253">
              <controlPr defaultSize="0" autoLine="0" autoPict="0">
                <anchor moveWithCells="1">
                  <from>
                    <xdr:col>1</xdr:col>
                    <xdr:colOff>1590675</xdr:colOff>
                    <xdr:row>8</xdr:row>
                    <xdr:rowOff>0</xdr:rowOff>
                  </from>
                  <to>
                    <xdr:col>2</xdr:col>
                    <xdr:colOff>2066925</xdr:colOff>
                    <xdr:row>8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Vyberte z uvedených možností" xr:uid="{E4D8ADD2-9D06-4521-A6C3-472D9909D47B}">
          <x14:formula1>
            <xm:f>data!$A$64:$A$68</xm:f>
          </x14:formula1>
          <xm:sqref>C56:G56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pageSetUpPr fitToPage="1"/>
  </sheetPr>
  <dimension ref="B1:AN47"/>
  <sheetViews>
    <sheetView showGridLines="0" view="pageLayout" zoomScaleNormal="55" workbookViewId="0">
      <selection activeCell="AB6" sqref="AB6:AB17"/>
    </sheetView>
  </sheetViews>
  <sheetFormatPr defaultColWidth="0" defaultRowHeight="12.75" zeroHeight="1" x14ac:dyDescent="0.2"/>
  <cols>
    <col min="1" max="1" width="6.5703125" customWidth="1"/>
    <col min="2" max="2" width="8.42578125" customWidth="1"/>
    <col min="3" max="4" width="8.140625" customWidth="1"/>
    <col min="5" max="10" width="8.28515625" customWidth="1"/>
    <col min="11" max="12" width="14.28515625" customWidth="1"/>
    <col min="13" max="16" width="10.140625" customWidth="1"/>
    <col min="17" max="19" width="10.85546875" customWidth="1"/>
    <col min="20" max="20" width="10.7109375" customWidth="1"/>
    <col min="21" max="21" width="10.85546875" customWidth="1"/>
    <col min="22" max="22" width="10.7109375" customWidth="1"/>
    <col min="23" max="23" width="11.7109375" customWidth="1"/>
    <col min="24" max="24" width="6" customWidth="1"/>
    <col min="25" max="25" width="3.28515625" customWidth="1"/>
    <col min="26" max="26" width="12.5703125" customWidth="1"/>
    <col min="27" max="27" width="9.140625" customWidth="1"/>
    <col min="28" max="28" width="14.5703125" customWidth="1"/>
    <col min="29" max="30" width="9.140625" customWidth="1"/>
  </cols>
  <sheetData>
    <row r="1" spans="2:40" ht="25.5" customHeight="1" x14ac:dyDescent="0.2">
      <c r="B1" s="179" t="s">
        <v>108</v>
      </c>
    </row>
    <row r="2" spans="2:40" ht="14.25" customHeight="1" x14ac:dyDescent="0.2">
      <c r="B2" s="179" t="s">
        <v>112</v>
      </c>
    </row>
    <row r="3" spans="2:40" ht="10.5" customHeight="1" thickBot="1" x14ac:dyDescent="0.25">
      <c r="B3" s="179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5"/>
      <c r="U3" s="15"/>
      <c r="V3" s="15"/>
      <c r="W3" s="15"/>
      <c r="X3" s="15"/>
    </row>
    <row r="4" spans="2:40" ht="20.25" customHeight="1" x14ac:dyDescent="0.2">
      <c r="B4" s="16" t="s">
        <v>2</v>
      </c>
      <c r="C4" s="17" t="s">
        <v>1</v>
      </c>
      <c r="D4" s="17" t="s">
        <v>66</v>
      </c>
      <c r="E4" s="17" t="s">
        <v>65</v>
      </c>
      <c r="F4" s="17" t="s">
        <v>166</v>
      </c>
      <c r="G4" s="17" t="s">
        <v>169</v>
      </c>
      <c r="H4" s="17" t="s">
        <v>172</v>
      </c>
      <c r="I4" s="18" t="s">
        <v>167</v>
      </c>
      <c r="J4" s="18" t="s">
        <v>168</v>
      </c>
      <c r="K4" s="17" t="s">
        <v>163</v>
      </c>
      <c r="L4" s="17" t="s">
        <v>164</v>
      </c>
      <c r="M4" s="17" t="s">
        <v>173</v>
      </c>
      <c r="N4" s="17" t="s">
        <v>174</v>
      </c>
      <c r="O4" s="17" t="s">
        <v>63</v>
      </c>
      <c r="P4" s="18" t="s">
        <v>64</v>
      </c>
      <c r="Q4" s="17" t="s">
        <v>170</v>
      </c>
      <c r="R4" s="17" t="s">
        <v>171</v>
      </c>
      <c r="S4" s="17" t="s">
        <v>70</v>
      </c>
      <c r="T4" s="17" t="s">
        <v>62</v>
      </c>
      <c r="U4" s="19" t="s">
        <v>61</v>
      </c>
      <c r="V4" s="17" t="s">
        <v>60</v>
      </c>
      <c r="W4" s="20" t="s">
        <v>68</v>
      </c>
      <c r="Z4" s="96"/>
      <c r="AB4" s="54" t="s">
        <v>82</v>
      </c>
      <c r="AC4" s="351" t="s">
        <v>101</v>
      </c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</row>
    <row r="5" spans="2:40" ht="17.25" customHeight="1" thickBot="1" x14ac:dyDescent="0.25">
      <c r="B5" s="56"/>
      <c r="C5" s="57" t="s">
        <v>7</v>
      </c>
      <c r="D5" s="57" t="s">
        <v>0</v>
      </c>
      <c r="E5" s="57" t="s">
        <v>0</v>
      </c>
      <c r="F5" s="57" t="s">
        <v>104</v>
      </c>
      <c r="G5" s="57" t="s">
        <v>104</v>
      </c>
      <c r="H5" s="57" t="s">
        <v>104</v>
      </c>
      <c r="I5" s="58" t="s">
        <v>3</v>
      </c>
      <c r="J5" s="58" t="s">
        <v>3</v>
      </c>
      <c r="K5" s="57" t="s">
        <v>43</v>
      </c>
      <c r="L5" s="57" t="s">
        <v>43</v>
      </c>
      <c r="M5" s="57" t="s">
        <v>69</v>
      </c>
      <c r="N5" s="57" t="s">
        <v>69</v>
      </c>
      <c r="O5" s="57" t="s">
        <v>69</v>
      </c>
      <c r="P5" s="57" t="s">
        <v>3</v>
      </c>
      <c r="Q5" s="57" t="s">
        <v>45</v>
      </c>
      <c r="R5" s="57" t="s">
        <v>45</v>
      </c>
      <c r="S5" s="57" t="s">
        <v>45</v>
      </c>
      <c r="T5" s="57" t="s">
        <v>45</v>
      </c>
      <c r="U5" s="57" t="s">
        <v>45</v>
      </c>
      <c r="V5" s="57" t="s">
        <v>45</v>
      </c>
      <c r="W5" s="59" t="s">
        <v>45</v>
      </c>
      <c r="Z5" s="97"/>
      <c r="AB5" s="55" t="s">
        <v>45</v>
      </c>
      <c r="AC5" s="351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</row>
    <row r="6" spans="2:40" ht="17.25" customHeight="1" x14ac:dyDescent="0.2">
      <c r="B6" s="60">
        <v>1</v>
      </c>
      <c r="C6" s="61">
        <v>31</v>
      </c>
      <c r="D6" s="61">
        <v>-1.3</v>
      </c>
      <c r="E6" s="172">
        <v>1.8</v>
      </c>
      <c r="F6" s="62">
        <f>+G!C65</f>
        <v>418</v>
      </c>
      <c r="G6" s="62">
        <f>+G!R65</f>
        <v>418</v>
      </c>
      <c r="H6" s="62" t="e">
        <f t="shared" ref="H6:H17" si="0">(F6*Celková_vztažná_plocha+G6*celk_vtazna_pl_2)/(Celková_vztažná_plocha+celk_vtazna_pl_2)</f>
        <v>#DIV/0!</v>
      </c>
      <c r="I6" s="224" t="e">
        <f>MAX(ný_0-a_1*(t_km-E6)/F6-a_2*POWER(t_km-E6,2)/F6,0)</f>
        <v>#VALUE!</v>
      </c>
      <c r="J6" s="224" t="e">
        <f t="shared" ref="J6:J17" si="1">MAX(ný_02-a_1_2*(t_km_2-E6)/G6-a_2_2*POWER(t_km_2-E6,2)/G6,0)</f>
        <v>#VALUE!</v>
      </c>
      <c r="K6" s="63">
        <f>+H!C65/C6</f>
        <v>1.1516129032258065</v>
      </c>
      <c r="L6" s="63">
        <f>+H!R65/C6</f>
        <v>1.1516129032258065</v>
      </c>
      <c r="M6" s="64">
        <f t="shared" ref="M6:M17" si="2">C6*K6</f>
        <v>35.700000000000003</v>
      </c>
      <c r="N6" s="64">
        <f>C6*L6</f>
        <v>35.700000000000003</v>
      </c>
      <c r="O6" s="64">
        <f t="shared" ref="O6:O17" si="3">IF((Celková_vztažná_plocha+celk_vtazna_pl_2)&gt;0,(M6*Celková_vztažná_plocha+N6*celk_vtazna_pl_2)/(Celková_vztažná_plocha+celk_vtazna_pl_2),0)</f>
        <v>0</v>
      </c>
      <c r="P6" s="63" t="e">
        <f t="shared" ref="P6:P17" si="4">(I6*Celková_vztažná_plocha+J6*celk_vtazna_pl_2)/(Celková_vztažná_plocha+celk_vtazna_pl_2)</f>
        <v>#VALUE!</v>
      </c>
      <c r="Q6" s="64" t="e">
        <f>G!$C$67*I6*M6*(Vztažná_plocha_kolektoru*počet_kolektorů)*(1-_p)</f>
        <v>#VALUE!</v>
      </c>
      <c r="R6" s="64" t="e">
        <f>G!$R$67*J6*N6*(vztažná_plocha_kol_2*počet_kolektorů_2)*(1-_p)</f>
        <v>#VALUE!</v>
      </c>
      <c r="S6" s="64" t="e">
        <f>Q6+R6</f>
        <v>#VALUE!</v>
      </c>
      <c r="T6" s="62">
        <f t="shared" ref="T6:T17" si="5">(1+z)*C6*Vtv_den*(t_tv-t_sv)*4187/3600000</f>
        <v>0</v>
      </c>
      <c r="U6" s="65">
        <f>IF(Zadání!$D$11=2,CHOOSE(Zadání!$E$25,(1+_v/100)*CHOOSE(data!$A$48,AB6,AB6*277.7777777),IF((T_i-T_e)=0,0,(1+_v/100)*C6*24*Q_z*eps*(T_i-D6)/(T_i-T_e)),0),0)</f>
        <v>0</v>
      </c>
      <c r="V6" s="227">
        <f>U6+T6</f>
        <v>0</v>
      </c>
      <c r="W6" s="228" t="e">
        <f>MIN(S6,V6)</f>
        <v>#VALUE!</v>
      </c>
      <c r="Z6" s="171"/>
      <c r="AA6" s="353"/>
      <c r="AB6" s="163"/>
      <c r="AC6" s="351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</row>
    <row r="7" spans="2:40" ht="17.25" customHeight="1" x14ac:dyDescent="0.2">
      <c r="B7" s="21">
        <v>2</v>
      </c>
      <c r="C7" s="22">
        <v>28</v>
      </c>
      <c r="D7" s="22">
        <v>-0.1</v>
      </c>
      <c r="E7" s="172">
        <v>2.7</v>
      </c>
      <c r="F7" s="25">
        <f>+G!D65</f>
        <v>489</v>
      </c>
      <c r="G7" s="25">
        <f>+G!S65</f>
        <v>489</v>
      </c>
      <c r="H7" s="25" t="e">
        <f t="shared" si="0"/>
        <v>#DIV/0!</v>
      </c>
      <c r="I7" s="225" t="e">
        <f>IF(Zadání!$D$35-Zadání!$D$36*(Zadání!$D$42-E7)/F7-Zadání!$D$37*POWER(Zadání!$D$42-E7,2)/F7&lt;0,0,Zadání!$D$35-Zadání!$D$36*(Zadání!$D$42-E7)/F7-Zadání!$D$37*POWER(Zadání!$D$42-E7,2)/F7)</f>
        <v>#VALUE!</v>
      </c>
      <c r="J7" s="225" t="e">
        <f t="shared" si="1"/>
        <v>#VALUE!</v>
      </c>
      <c r="K7" s="23">
        <f>+H!D65/C7</f>
        <v>2.0392857142857141</v>
      </c>
      <c r="L7" s="23">
        <f>+H!S65/C7</f>
        <v>2.0392857142857141</v>
      </c>
      <c r="M7" s="24">
        <f t="shared" si="2"/>
        <v>57.099999999999994</v>
      </c>
      <c r="N7" s="64">
        <f t="shared" ref="N7:N17" si="6">C7*L7</f>
        <v>57.099999999999994</v>
      </c>
      <c r="O7" s="64">
        <f t="shared" si="3"/>
        <v>0</v>
      </c>
      <c r="P7" s="63" t="e">
        <f t="shared" si="4"/>
        <v>#VALUE!</v>
      </c>
      <c r="Q7" s="64" t="e">
        <f>G!$C$67*I7*M7*(Vztažná_plocha_kolektoru*počet_kolektorů)*(1-_p)</f>
        <v>#VALUE!</v>
      </c>
      <c r="R7" s="64" t="e">
        <f>G!$R$67*J7*N7*(vztažná_plocha_kol_2*počet_kolektorů_2)*(1-_p)</f>
        <v>#VALUE!</v>
      </c>
      <c r="S7" s="64" t="e">
        <f t="shared" ref="S7:S17" si="7">Q7+R7</f>
        <v>#VALUE!</v>
      </c>
      <c r="T7" s="62">
        <f t="shared" si="5"/>
        <v>0</v>
      </c>
      <c r="U7" s="65">
        <f>IF(Zadání!$D$11=2,CHOOSE(Zadání!$E$25,(1+_v/100)*CHOOSE(data!$A$48,AB7,AB7*277.7777777),IF((T_i-T_e)=0,0,(1+_v/100)*C7*24*Q_z*eps*(T_i-D7)/(T_i-T_e)),0),0)</f>
        <v>0</v>
      </c>
      <c r="V7" s="229">
        <f t="shared" ref="V7:V16" si="8">U7+T7</f>
        <v>0</v>
      </c>
      <c r="W7" s="230" t="e">
        <f t="shared" ref="W7:W17" si="9">MIN(S7,V7)</f>
        <v>#VALUE!</v>
      </c>
      <c r="Z7" s="171"/>
      <c r="AA7" s="353"/>
      <c r="AB7" s="163"/>
      <c r="AC7" s="351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</row>
    <row r="8" spans="2:40" ht="17.25" customHeight="1" x14ac:dyDescent="0.2">
      <c r="B8" s="21">
        <v>3</v>
      </c>
      <c r="C8" s="22">
        <v>31</v>
      </c>
      <c r="D8" s="22">
        <v>3.7</v>
      </c>
      <c r="E8" s="172">
        <v>6.3</v>
      </c>
      <c r="F8" s="25">
        <f>+G!E65</f>
        <v>535</v>
      </c>
      <c r="G8" s="25">
        <f>+G!T65</f>
        <v>535</v>
      </c>
      <c r="H8" s="25" t="e">
        <f t="shared" si="0"/>
        <v>#DIV/0!</v>
      </c>
      <c r="I8" s="225" t="e">
        <f>IF(Zadání!$D$35-Zadání!$D$36*(Zadání!$D$42-E8)/F8-Zadání!$D$37*POWER(Zadání!$D$42-E8,2)/F8&lt;0,0,Zadání!$D$35-Zadání!$D$36*(Zadání!$D$42-E8)/F8-Zadání!$D$37*POWER(Zadání!$D$42-E8,2)/F8)</f>
        <v>#VALUE!</v>
      </c>
      <c r="J8" s="225" t="e">
        <f t="shared" si="1"/>
        <v>#VALUE!</v>
      </c>
      <c r="K8" s="23">
        <f>+H!E65/C8</f>
        <v>3</v>
      </c>
      <c r="L8" s="23">
        <f>+H!T65/C8</f>
        <v>3</v>
      </c>
      <c r="M8" s="24">
        <f t="shared" si="2"/>
        <v>93</v>
      </c>
      <c r="N8" s="64">
        <f t="shared" si="6"/>
        <v>93</v>
      </c>
      <c r="O8" s="64">
        <f t="shared" si="3"/>
        <v>0</v>
      </c>
      <c r="P8" s="63" t="e">
        <f t="shared" si="4"/>
        <v>#VALUE!</v>
      </c>
      <c r="Q8" s="64" t="e">
        <f>G!$C$67*I8*M8*(Vztažná_plocha_kolektoru*počet_kolektorů)*(1-_p)</f>
        <v>#VALUE!</v>
      </c>
      <c r="R8" s="64" t="e">
        <f>G!$R$67*J8*N8*(vztažná_plocha_kol_2*počet_kolektorů_2)*(1-_p)</f>
        <v>#VALUE!</v>
      </c>
      <c r="S8" s="64" t="e">
        <f t="shared" si="7"/>
        <v>#VALUE!</v>
      </c>
      <c r="T8" s="62">
        <f t="shared" si="5"/>
        <v>0</v>
      </c>
      <c r="U8" s="65">
        <f>IF(Zadání!$D$11=2,CHOOSE(Zadání!$E$25,(1+_v/100)*CHOOSE(data!$A$48,AB8,AB8*277.7777777),IF((T_i-T_e)=0,0,(1+_v/100)*C8*24*Q_z*eps*(T_i-D8)/(T_i-T_e)),0),0)</f>
        <v>0</v>
      </c>
      <c r="V8" s="229">
        <f t="shared" si="8"/>
        <v>0</v>
      </c>
      <c r="W8" s="230" t="e">
        <f t="shared" si="9"/>
        <v>#VALUE!</v>
      </c>
      <c r="Z8" s="171"/>
      <c r="AA8" s="353"/>
      <c r="AB8" s="163"/>
      <c r="AC8" s="351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</row>
    <row r="9" spans="2:40" ht="17.25" customHeight="1" x14ac:dyDescent="0.2">
      <c r="B9" s="21">
        <v>4</v>
      </c>
      <c r="C9" s="22">
        <v>30</v>
      </c>
      <c r="D9" s="22">
        <v>8.1</v>
      </c>
      <c r="E9" s="172">
        <v>10.7</v>
      </c>
      <c r="F9" s="25">
        <f>+G!F65</f>
        <v>527</v>
      </c>
      <c r="G9" s="25">
        <f>+G!U65</f>
        <v>527</v>
      </c>
      <c r="H9" s="25" t="e">
        <f t="shared" si="0"/>
        <v>#DIV/0!</v>
      </c>
      <c r="I9" s="225" t="e">
        <f>IF(Zadání!$D$35-Zadání!$D$36*(Zadání!$D$42-E9)/F9-Zadání!$D$37*POWER(Zadání!$D$42-E9,2)/F9&lt;0,0,Zadání!$D$35-Zadání!$D$36*(Zadání!$D$42-E9)/F9-Zadání!$D$37*POWER(Zadání!$D$42-E9,2)/F9)</f>
        <v>#VALUE!</v>
      </c>
      <c r="J9" s="225" t="e">
        <f t="shared" si="1"/>
        <v>#VALUE!</v>
      </c>
      <c r="K9" s="23">
        <f>+H!F65/C9</f>
        <v>4.246666666666667</v>
      </c>
      <c r="L9" s="23">
        <f>+H!U65/C9</f>
        <v>4.246666666666667</v>
      </c>
      <c r="M9" s="24">
        <f t="shared" si="2"/>
        <v>127.4</v>
      </c>
      <c r="N9" s="64">
        <f t="shared" si="6"/>
        <v>127.4</v>
      </c>
      <c r="O9" s="64">
        <f t="shared" si="3"/>
        <v>0</v>
      </c>
      <c r="P9" s="63" t="e">
        <f t="shared" si="4"/>
        <v>#VALUE!</v>
      </c>
      <c r="Q9" s="64" t="e">
        <f>G!$C$67*I9*M9*(Vztažná_plocha_kolektoru*počet_kolektorů)*(1-_p)</f>
        <v>#VALUE!</v>
      </c>
      <c r="R9" s="64" t="e">
        <f>G!$R$67*J9*N9*(vztažná_plocha_kol_2*počet_kolektorů_2)*(1-_p)</f>
        <v>#VALUE!</v>
      </c>
      <c r="S9" s="64" t="e">
        <f t="shared" si="7"/>
        <v>#VALUE!</v>
      </c>
      <c r="T9" s="62">
        <f t="shared" si="5"/>
        <v>0</v>
      </c>
      <c r="U9" s="65">
        <f>IF(Zadání!$D$11=2,CHOOSE(Zadání!$E$25,(1+_v/100)*CHOOSE(data!$A$48,AB9,AB9*277.7777777),IF((T_i-T_e)=0,0,(1+_v/100)*C9*24*Q_z*eps*(T_i-D9)/(T_i-T_e)),0),0)</f>
        <v>0</v>
      </c>
      <c r="V9" s="229">
        <f t="shared" si="8"/>
        <v>0</v>
      </c>
      <c r="W9" s="230" t="e">
        <f t="shared" si="9"/>
        <v>#VALUE!</v>
      </c>
      <c r="Z9" s="171"/>
      <c r="AA9" s="353"/>
      <c r="AB9" s="163"/>
      <c r="AC9" s="351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</row>
    <row r="10" spans="2:40" ht="17.25" customHeight="1" x14ac:dyDescent="0.2">
      <c r="B10" s="21">
        <v>5</v>
      </c>
      <c r="C10" s="22">
        <v>31</v>
      </c>
      <c r="D10" s="22">
        <v>13.3</v>
      </c>
      <c r="E10" s="172">
        <v>16</v>
      </c>
      <c r="F10" s="25">
        <f>+G!G65</f>
        <v>521</v>
      </c>
      <c r="G10" s="25">
        <f>+G!V65</f>
        <v>521</v>
      </c>
      <c r="H10" s="25" t="e">
        <f t="shared" si="0"/>
        <v>#DIV/0!</v>
      </c>
      <c r="I10" s="225" t="e">
        <f>IF(Zadání!$D$35-Zadání!$D$36*(Zadání!$D$42-E10)/F10-Zadání!$D$37*POWER(Zadání!$D$42-E10,2)/F10&lt;0,0,Zadání!$D$35-Zadání!$D$36*(Zadání!$D$42-E10)/F10-Zadání!$D$37*POWER(Zadání!$D$42-E10,2)/F10)</f>
        <v>#VALUE!</v>
      </c>
      <c r="J10" s="225" t="e">
        <f t="shared" si="1"/>
        <v>#VALUE!</v>
      </c>
      <c r="K10" s="23">
        <f>+H!G65/C10</f>
        <v>4.7516129032258068</v>
      </c>
      <c r="L10" s="23">
        <f>+H!V65/C10</f>
        <v>4.7516129032258068</v>
      </c>
      <c r="M10" s="24">
        <f t="shared" si="2"/>
        <v>147.30000000000001</v>
      </c>
      <c r="N10" s="64">
        <f t="shared" si="6"/>
        <v>147.30000000000001</v>
      </c>
      <c r="O10" s="64">
        <f t="shared" si="3"/>
        <v>0</v>
      </c>
      <c r="P10" s="63" t="e">
        <f t="shared" si="4"/>
        <v>#VALUE!</v>
      </c>
      <c r="Q10" s="64" t="e">
        <f>G!$C$67*I10*M10*(Vztažná_plocha_kolektoru*počet_kolektorů)*(1-_p)</f>
        <v>#VALUE!</v>
      </c>
      <c r="R10" s="64" t="e">
        <f>G!$R$67*J10*N10*(vztažná_plocha_kol_2*počet_kolektorů_2)*(1-_p)</f>
        <v>#VALUE!</v>
      </c>
      <c r="S10" s="64" t="e">
        <f t="shared" si="7"/>
        <v>#VALUE!</v>
      </c>
      <c r="T10" s="62">
        <f t="shared" si="5"/>
        <v>0</v>
      </c>
      <c r="U10" s="65">
        <f>IF(Zadání!$D$11=2,CHOOSE(Zadání!$E$25,(1+_v/100)*CHOOSE(data!$A$48,AB10,AB10*277.7777777),IF((T_i-T_e)=0,0,(1+_v/100)*C10*24*Q_z*eps*(T_i-D10)/(T_i-T_e)),0),0)</f>
        <v>0</v>
      </c>
      <c r="V10" s="229">
        <f t="shared" si="8"/>
        <v>0</v>
      </c>
      <c r="W10" s="230" t="e">
        <f t="shared" si="9"/>
        <v>#VALUE!</v>
      </c>
      <c r="Z10" s="171"/>
      <c r="AA10" s="353"/>
      <c r="AB10" s="163"/>
      <c r="AC10" s="351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</row>
    <row r="11" spans="2:40" ht="17.25" customHeight="1" x14ac:dyDescent="0.2">
      <c r="B11" s="21">
        <v>6</v>
      </c>
      <c r="C11" s="22">
        <v>30</v>
      </c>
      <c r="D11" s="22">
        <v>16.100000000000001</v>
      </c>
      <c r="E11" s="172">
        <v>18.600000000000001</v>
      </c>
      <c r="F11" s="25">
        <f>+G!H65</f>
        <v>517</v>
      </c>
      <c r="G11" s="25">
        <f>+G!W65</f>
        <v>517</v>
      </c>
      <c r="H11" s="25" t="e">
        <f t="shared" si="0"/>
        <v>#DIV/0!</v>
      </c>
      <c r="I11" s="225" t="e">
        <f>IF(Zadání!$D$35-Zadání!$D$36*(Zadání!$D$42-E11)/F11-Zadání!$D$37*POWER(Zadání!$D$42-E11,2)/F11&lt;0,0,Zadání!$D$35-Zadání!$D$36*(Zadání!$D$42-E11)/F11-Zadání!$D$37*POWER(Zadání!$D$42-E11,2)/F11)</f>
        <v>#VALUE!</v>
      </c>
      <c r="J11" s="225" t="e">
        <f t="shared" si="1"/>
        <v>#VALUE!</v>
      </c>
      <c r="K11" s="23">
        <f>+H!H65/C11</f>
        <v>4.5366666666666662</v>
      </c>
      <c r="L11" s="23">
        <f>+H!W65/C11</f>
        <v>4.5366666666666662</v>
      </c>
      <c r="M11" s="24">
        <f t="shared" si="2"/>
        <v>136.1</v>
      </c>
      <c r="N11" s="64">
        <f t="shared" si="6"/>
        <v>136.1</v>
      </c>
      <c r="O11" s="64">
        <f t="shared" si="3"/>
        <v>0</v>
      </c>
      <c r="P11" s="63" t="e">
        <f t="shared" si="4"/>
        <v>#VALUE!</v>
      </c>
      <c r="Q11" s="64" t="e">
        <f>G!$C$67*I11*M11*(Vztažná_plocha_kolektoru*počet_kolektorů)*(1-_p)</f>
        <v>#VALUE!</v>
      </c>
      <c r="R11" s="64" t="e">
        <f>G!$R$67*J11*N11*(vztažná_plocha_kol_2*počet_kolektorů_2)*(1-_p)</f>
        <v>#VALUE!</v>
      </c>
      <c r="S11" s="64" t="e">
        <f t="shared" si="7"/>
        <v>#VALUE!</v>
      </c>
      <c r="T11" s="62">
        <f t="shared" si="5"/>
        <v>0</v>
      </c>
      <c r="U11" s="26">
        <f>IF(Zadání!$D$11=2,CHOOSE(Zadání!$E$25,(1+_v/100)*CHOOSE(data!$A$48,AB11,AB11*277.7777777),IF((T_i-T_e)=0,0,0),0),0)</f>
        <v>0</v>
      </c>
      <c r="V11" s="229">
        <f t="shared" si="8"/>
        <v>0</v>
      </c>
      <c r="W11" s="230" t="e">
        <f t="shared" si="9"/>
        <v>#VALUE!</v>
      </c>
      <c r="Z11" s="171"/>
      <c r="AA11" s="353"/>
      <c r="AB11" s="163"/>
      <c r="AC11" s="351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</row>
    <row r="12" spans="2:40" ht="17.25" customHeight="1" x14ac:dyDescent="0.2">
      <c r="B12" s="21">
        <v>7</v>
      </c>
      <c r="C12" s="22">
        <v>31</v>
      </c>
      <c r="D12" s="22">
        <v>18</v>
      </c>
      <c r="E12" s="172">
        <v>20.5</v>
      </c>
      <c r="F12" s="25">
        <f>+G!I65</f>
        <v>512</v>
      </c>
      <c r="G12" s="25">
        <f>+G!X65</f>
        <v>512</v>
      </c>
      <c r="H12" s="25" t="e">
        <f t="shared" si="0"/>
        <v>#DIV/0!</v>
      </c>
      <c r="I12" s="225" t="e">
        <f>IF(Zadání!$D$35-Zadání!$D$36*(Zadání!$D$42-E12)/F12-Zadání!$D$37*POWER(Zadání!$D$42-E12,2)/F12&lt;0,0,Zadání!$D$35-Zadání!$D$36*(Zadání!$D$42-E12)/F12-Zadání!$D$37*POWER(Zadání!$D$42-E12,2)/F12)</f>
        <v>#VALUE!</v>
      </c>
      <c r="J12" s="225" t="e">
        <f t="shared" si="1"/>
        <v>#VALUE!</v>
      </c>
      <c r="K12" s="23">
        <f>+H!I65/C12</f>
        <v>4.4161290322580644</v>
      </c>
      <c r="L12" s="23">
        <f>+H!X65/C12</f>
        <v>4.4161290322580644</v>
      </c>
      <c r="M12" s="24">
        <f t="shared" si="2"/>
        <v>136.9</v>
      </c>
      <c r="N12" s="64">
        <f t="shared" si="6"/>
        <v>136.9</v>
      </c>
      <c r="O12" s="64">
        <f t="shared" si="3"/>
        <v>0</v>
      </c>
      <c r="P12" s="63" t="e">
        <f t="shared" si="4"/>
        <v>#VALUE!</v>
      </c>
      <c r="Q12" s="64" t="e">
        <f>G!$C$67*I12*M12*(Vztažná_plocha_kolektoru*počet_kolektorů)*(1-_p)</f>
        <v>#VALUE!</v>
      </c>
      <c r="R12" s="64" t="e">
        <f>G!$R$67*J12*N12*(vztažná_plocha_kol_2*počet_kolektorů_2)*(1-_p)</f>
        <v>#VALUE!</v>
      </c>
      <c r="S12" s="64" t="e">
        <f t="shared" si="7"/>
        <v>#VALUE!</v>
      </c>
      <c r="T12" s="62">
        <f t="shared" si="5"/>
        <v>0</v>
      </c>
      <c r="U12" s="26">
        <f>IF(Zadání!$D$11=2,CHOOSE(Zadání!$E$25,(1+_v/100)*CHOOSE(data!$A$48,AB12,AB12*277.7777777),IF((T_i-T_e)=0,0,0),0),0)</f>
        <v>0</v>
      </c>
      <c r="V12" s="229">
        <f t="shared" si="8"/>
        <v>0</v>
      </c>
      <c r="W12" s="230" t="e">
        <f t="shared" si="9"/>
        <v>#VALUE!</v>
      </c>
      <c r="Z12" s="171"/>
      <c r="AA12" s="353"/>
      <c r="AB12" s="163"/>
      <c r="AC12" s="351"/>
      <c r="AD12" s="92"/>
      <c r="AF12" s="92"/>
      <c r="AG12" s="92"/>
      <c r="AH12" s="92"/>
      <c r="AI12" s="92"/>
      <c r="AJ12" s="92"/>
      <c r="AK12" s="92"/>
      <c r="AL12" s="92"/>
      <c r="AM12" s="92"/>
      <c r="AN12" s="92"/>
    </row>
    <row r="13" spans="2:40" ht="17.25" customHeight="1" x14ac:dyDescent="0.2">
      <c r="B13" s="21">
        <v>8</v>
      </c>
      <c r="C13" s="22">
        <v>31</v>
      </c>
      <c r="D13" s="22">
        <v>17.899999999999999</v>
      </c>
      <c r="E13" s="172">
        <v>21.1</v>
      </c>
      <c r="F13" s="25">
        <f>+G!J65</f>
        <v>515</v>
      </c>
      <c r="G13" s="25">
        <f>+G!Y65</f>
        <v>515</v>
      </c>
      <c r="H13" s="25" t="e">
        <f t="shared" si="0"/>
        <v>#DIV/0!</v>
      </c>
      <c r="I13" s="225" t="e">
        <f>IF(Zadání!$D$35-Zadání!$D$36*(Zadání!$D$42-E13)/F13-Zadání!$D$37*POWER(Zadání!$D$42-E13,2)/F13&lt;0,0,Zadání!$D$35-Zadání!$D$36*(Zadání!$D$42-E13)/F13-Zadání!$D$37*POWER(Zadání!$D$42-E13,2)/F13)</f>
        <v>#VALUE!</v>
      </c>
      <c r="J13" s="225" t="e">
        <f t="shared" si="1"/>
        <v>#VALUE!</v>
      </c>
      <c r="K13" s="23">
        <f>+H!J65/C13</f>
        <v>4.7774193548387096</v>
      </c>
      <c r="L13" s="23">
        <f>+H!Y65/C13</f>
        <v>4.7774193548387096</v>
      </c>
      <c r="M13" s="24">
        <f t="shared" si="2"/>
        <v>148.1</v>
      </c>
      <c r="N13" s="64">
        <f t="shared" si="6"/>
        <v>148.1</v>
      </c>
      <c r="O13" s="64">
        <f t="shared" si="3"/>
        <v>0</v>
      </c>
      <c r="P13" s="63" t="e">
        <f t="shared" si="4"/>
        <v>#VALUE!</v>
      </c>
      <c r="Q13" s="64" t="e">
        <f>G!$C$67*I13*M13*(Vztažná_plocha_kolektoru*počet_kolektorů)*(1-_p)</f>
        <v>#VALUE!</v>
      </c>
      <c r="R13" s="64" t="e">
        <f>G!$R$67*J13*N13*(vztažná_plocha_kol_2*počet_kolektorů_2)*(1-_p)</f>
        <v>#VALUE!</v>
      </c>
      <c r="S13" s="64" t="e">
        <f t="shared" si="7"/>
        <v>#VALUE!</v>
      </c>
      <c r="T13" s="62">
        <f t="shared" si="5"/>
        <v>0</v>
      </c>
      <c r="U13" s="26">
        <f>IF(Zadání!$D$11=2,CHOOSE(Zadání!$E$25,(1+_v/100)*CHOOSE(data!$A$48,AB13,AB13*277.7777777),IF((T_i-T_e)=0,0,0),0),0)</f>
        <v>0</v>
      </c>
      <c r="V13" s="229">
        <f t="shared" si="8"/>
        <v>0</v>
      </c>
      <c r="W13" s="230" t="e">
        <f t="shared" si="9"/>
        <v>#VALUE!</v>
      </c>
      <c r="Z13" s="171"/>
      <c r="AA13" s="353"/>
      <c r="AB13" s="163"/>
      <c r="AC13" s="351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</row>
    <row r="14" spans="2:40" ht="17.25" customHeight="1" x14ac:dyDescent="0.2">
      <c r="B14" s="21">
        <v>9</v>
      </c>
      <c r="C14" s="22">
        <v>30</v>
      </c>
      <c r="D14" s="22">
        <v>13.5</v>
      </c>
      <c r="E14" s="172">
        <v>17.100000000000001</v>
      </c>
      <c r="F14" s="25">
        <f>+G!K65</f>
        <v>516</v>
      </c>
      <c r="G14" s="25">
        <f>+G!Z65</f>
        <v>516</v>
      </c>
      <c r="H14" s="25" t="e">
        <f t="shared" si="0"/>
        <v>#DIV/0!</v>
      </c>
      <c r="I14" s="225" t="e">
        <f>IF(Zadání!$D$35-Zadání!$D$36*(Zadání!$D$42-E14)/F14-Zadání!$D$37*POWER(Zadání!$D$42-E14,2)/F14&lt;0,0,Zadání!$D$35-Zadání!$D$36*(Zadání!$D$42-E14)/F14-Zadání!$D$37*POWER(Zadání!$D$42-E14,2)/F14)</f>
        <v>#VALUE!</v>
      </c>
      <c r="J14" s="225" t="e">
        <f t="shared" si="1"/>
        <v>#VALUE!</v>
      </c>
      <c r="K14" s="23">
        <f>+H!K65/C14</f>
        <v>3.503333333333333</v>
      </c>
      <c r="L14" s="23">
        <f>+H!Z65/C14</f>
        <v>3.503333333333333</v>
      </c>
      <c r="M14" s="24">
        <f t="shared" si="2"/>
        <v>105.1</v>
      </c>
      <c r="N14" s="64">
        <f t="shared" si="6"/>
        <v>105.1</v>
      </c>
      <c r="O14" s="64">
        <f t="shared" si="3"/>
        <v>0</v>
      </c>
      <c r="P14" s="63" t="e">
        <f t="shared" si="4"/>
        <v>#VALUE!</v>
      </c>
      <c r="Q14" s="64" t="e">
        <f>G!$C$67*I14*M14*(Vztažná_plocha_kolektoru*počet_kolektorů)*(1-_p)</f>
        <v>#VALUE!</v>
      </c>
      <c r="R14" s="64" t="e">
        <f>G!$R$67*J14*N14*(vztažná_plocha_kol_2*počet_kolektorů_2)*(1-_p)</f>
        <v>#VALUE!</v>
      </c>
      <c r="S14" s="64" t="e">
        <f t="shared" si="7"/>
        <v>#VALUE!</v>
      </c>
      <c r="T14" s="62">
        <f t="shared" si="5"/>
        <v>0</v>
      </c>
      <c r="U14" s="26">
        <f>IF(Zadání!$D$11=2,CHOOSE(Zadání!$E$25,(1+_v/100)*CHOOSE(data!$A$48,AB14,AB14*277.7777777),IF((T_i-T_e)=0,0,(1+_v/100)*C14*24*Q_z*eps*(T_i-D14)/(T_i-T_e)),0),0)</f>
        <v>0</v>
      </c>
      <c r="V14" s="229">
        <f t="shared" si="8"/>
        <v>0</v>
      </c>
      <c r="W14" s="230" t="e">
        <f t="shared" si="9"/>
        <v>#VALUE!</v>
      </c>
      <c r="Z14" s="171"/>
      <c r="AA14" s="353"/>
      <c r="AB14" s="163"/>
      <c r="AC14" s="351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</row>
    <row r="15" spans="2:40" ht="17.25" customHeight="1" x14ac:dyDescent="0.2">
      <c r="B15" s="21">
        <v>10</v>
      </c>
      <c r="C15" s="22">
        <v>31</v>
      </c>
      <c r="D15" s="22">
        <v>8.3000000000000007</v>
      </c>
      <c r="E15" s="172">
        <v>11.7</v>
      </c>
      <c r="F15" s="25">
        <f>+G!L65</f>
        <v>488</v>
      </c>
      <c r="G15" s="25">
        <f>+G!AA65</f>
        <v>488</v>
      </c>
      <c r="H15" s="25" t="e">
        <f t="shared" si="0"/>
        <v>#DIV/0!</v>
      </c>
      <c r="I15" s="225" t="e">
        <f>IF(Zadání!$D$35-Zadání!$D$36*(Zadání!$D$42-E15)/F15-Zadání!$D$37*POWER(Zadání!$D$42-E15,2)/F15&lt;0,0,Zadání!$D$35-Zadání!$D$36*(Zadání!$D$42-E15)/F15-Zadání!$D$37*POWER(Zadání!$D$42-E15,2)/F15)</f>
        <v>#VALUE!</v>
      </c>
      <c r="J15" s="225" t="e">
        <f t="shared" si="1"/>
        <v>#VALUE!</v>
      </c>
      <c r="K15" s="23">
        <f>+H!L65/C15</f>
        <v>2.7612903225806451</v>
      </c>
      <c r="L15" s="23">
        <f>+H!AA65/C15</f>
        <v>2.7612903225806451</v>
      </c>
      <c r="M15" s="24">
        <f t="shared" si="2"/>
        <v>85.6</v>
      </c>
      <c r="N15" s="64">
        <f t="shared" si="6"/>
        <v>85.6</v>
      </c>
      <c r="O15" s="64">
        <f t="shared" si="3"/>
        <v>0</v>
      </c>
      <c r="P15" s="63" t="e">
        <f t="shared" si="4"/>
        <v>#VALUE!</v>
      </c>
      <c r="Q15" s="64" t="e">
        <f>G!$C$67*I15*M15*(Vztažná_plocha_kolektoru*počet_kolektorů)*(1-_p)</f>
        <v>#VALUE!</v>
      </c>
      <c r="R15" s="64" t="e">
        <f>G!$R$67*J15*N15*(vztažná_plocha_kol_2*počet_kolektorů_2)*(1-_p)</f>
        <v>#VALUE!</v>
      </c>
      <c r="S15" s="64" t="e">
        <f t="shared" si="7"/>
        <v>#VALUE!</v>
      </c>
      <c r="T15" s="62">
        <f t="shared" si="5"/>
        <v>0</v>
      </c>
      <c r="U15" s="26">
        <f>IF(Zadání!$D$11=2,CHOOSE(Zadání!$E$25,(1+_v/100)*CHOOSE(data!$A$48,AB15,AB15*277.7777777),IF((T_i-T_e)=0,0,(1+_v/100)*C15*24*Q_z*eps*(T_i-D15)/(T_i-T_e)),0),0)</f>
        <v>0</v>
      </c>
      <c r="V15" s="229">
        <f t="shared" si="8"/>
        <v>0</v>
      </c>
      <c r="W15" s="230" t="e">
        <f t="shared" si="9"/>
        <v>#VALUE!</v>
      </c>
      <c r="Z15" s="171"/>
      <c r="AA15" s="353"/>
      <c r="AB15" s="163"/>
      <c r="AC15" s="351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</row>
    <row r="16" spans="2:40" ht="17.25" customHeight="1" x14ac:dyDescent="0.2">
      <c r="B16" s="21">
        <v>11</v>
      </c>
      <c r="C16" s="22">
        <v>30</v>
      </c>
      <c r="D16" s="22">
        <v>3.2</v>
      </c>
      <c r="E16" s="172">
        <v>6.4</v>
      </c>
      <c r="F16" s="25">
        <f>+G!M65</f>
        <v>427</v>
      </c>
      <c r="G16" s="25">
        <f>+G!AB65</f>
        <v>427</v>
      </c>
      <c r="H16" s="25" t="e">
        <f t="shared" si="0"/>
        <v>#DIV/0!</v>
      </c>
      <c r="I16" s="225" t="e">
        <f>IF(Zadání!$D$35-Zadání!$D$36*(Zadání!$D$42-E16)/F16-Zadání!$D$37*POWER(Zadání!$D$42-E16,2)/F16&lt;0,0,Zadání!$D$35-Zadání!$D$36*(Zadání!$D$42-E16)/F16-Zadání!$D$37*POWER(Zadání!$D$42-E16,2)/F16)</f>
        <v>#VALUE!</v>
      </c>
      <c r="J16" s="225" t="e">
        <f t="shared" si="1"/>
        <v>#VALUE!</v>
      </c>
      <c r="K16" s="23">
        <f>+H!M65/C16</f>
        <v>1.5366666666666666</v>
      </c>
      <c r="L16" s="23">
        <f>+H!AB65/C16</f>
        <v>1.5366666666666666</v>
      </c>
      <c r="M16" s="24">
        <f t="shared" si="2"/>
        <v>46.1</v>
      </c>
      <c r="N16" s="64">
        <f t="shared" si="6"/>
        <v>46.1</v>
      </c>
      <c r="O16" s="64">
        <f t="shared" si="3"/>
        <v>0</v>
      </c>
      <c r="P16" s="63" t="e">
        <f t="shared" si="4"/>
        <v>#VALUE!</v>
      </c>
      <c r="Q16" s="64" t="e">
        <f>G!$C$67*I16*M16*(Vztažná_plocha_kolektoru*počet_kolektorů)*(1-_p)</f>
        <v>#VALUE!</v>
      </c>
      <c r="R16" s="64" t="e">
        <f>G!$R$67*J16*N16*(vztažná_plocha_kol_2*počet_kolektorů_2)*(1-_p)</f>
        <v>#VALUE!</v>
      </c>
      <c r="S16" s="64" t="e">
        <f t="shared" si="7"/>
        <v>#VALUE!</v>
      </c>
      <c r="T16" s="62">
        <f t="shared" si="5"/>
        <v>0</v>
      </c>
      <c r="U16" s="26">
        <f>IF(Zadání!$D$11=2,CHOOSE(Zadání!$E$25,(1+_v/100)*CHOOSE(data!$A$48,AB16,AB16*277.7777777),IF((T_i-T_e)=0,0,(1+_v/100)*C16*24*Q_z*eps*(T_i-D16)/(T_i-T_e)),0),0)</f>
        <v>0</v>
      </c>
      <c r="V16" s="229">
        <f t="shared" si="8"/>
        <v>0</v>
      </c>
      <c r="W16" s="230" t="e">
        <f t="shared" si="9"/>
        <v>#VALUE!</v>
      </c>
      <c r="Z16" s="171"/>
      <c r="AA16" s="353"/>
      <c r="AB16" s="163"/>
      <c r="AC16" s="351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</row>
    <row r="17" spans="2:40" ht="17.25" customHeight="1" thickBot="1" x14ac:dyDescent="0.25">
      <c r="B17" s="27">
        <v>12</v>
      </c>
      <c r="C17" s="28">
        <v>31</v>
      </c>
      <c r="D17" s="28">
        <v>0.5</v>
      </c>
      <c r="E17" s="173">
        <v>3.6</v>
      </c>
      <c r="F17" s="30">
        <f>+G!N65</f>
        <v>387</v>
      </c>
      <c r="G17" s="30">
        <f>+G!AC65</f>
        <v>387</v>
      </c>
      <c r="H17" s="30" t="e">
        <f t="shared" si="0"/>
        <v>#DIV/0!</v>
      </c>
      <c r="I17" s="226" t="e">
        <f>IF(Zadání!$D$35-Zadání!$D$36*(Zadání!$D$42-E17)/F17-Zadání!$D$37*POWER(Zadání!$D$42-E17,2)/F17&lt;0,0,Zadání!$D$35-Zadání!$D$36*(Zadání!$D$42-E17)/F17-Zadání!$D$37*POWER(Zadání!$D$42-E17,2)/F17)</f>
        <v>#VALUE!</v>
      </c>
      <c r="J17" s="226" t="e">
        <f t="shared" si="1"/>
        <v>#VALUE!</v>
      </c>
      <c r="K17" s="29">
        <f>+H!N65/C17</f>
        <v>0.93548387096774188</v>
      </c>
      <c r="L17" s="29">
        <f>+H!AC65/C17</f>
        <v>0.93548387096774188</v>
      </c>
      <c r="M17" s="66">
        <f t="shared" si="2"/>
        <v>29</v>
      </c>
      <c r="N17" s="259">
        <f t="shared" si="6"/>
        <v>29</v>
      </c>
      <c r="O17" s="64">
        <f t="shared" si="3"/>
        <v>0</v>
      </c>
      <c r="P17" s="63" t="e">
        <f t="shared" si="4"/>
        <v>#VALUE!</v>
      </c>
      <c r="Q17" s="64" t="e">
        <f>G!$C$67*I17*M17*(Vztažná_plocha_kolektoru*počet_kolektorů)*(1-_p)</f>
        <v>#VALUE!</v>
      </c>
      <c r="R17" s="64" t="e">
        <f>G!$R$67*J17*N17*(vztažná_plocha_kol_2*počet_kolektorů_2)*(1-_p)</f>
        <v>#VALUE!</v>
      </c>
      <c r="S17" s="64" t="e">
        <f t="shared" si="7"/>
        <v>#VALUE!</v>
      </c>
      <c r="T17" s="62">
        <f t="shared" si="5"/>
        <v>0</v>
      </c>
      <c r="U17" s="26">
        <f>IF(Zadání!$D$11=2,CHOOSE(Zadání!$E$25,(1+_v/100)*CHOOSE(data!$A$48,AB17,AB17*277.7777777),IF((T_i-T_e)=0,0,(1+_v/100)*C17*24*Q_z*eps*(T_i-D17)/(T_i-T_e)),0),0)</f>
        <v>0</v>
      </c>
      <c r="V17" s="231">
        <f>U17+T17</f>
        <v>0</v>
      </c>
      <c r="W17" s="232" t="e">
        <f t="shared" si="9"/>
        <v>#VALUE!</v>
      </c>
      <c r="Z17" s="171"/>
      <c r="AA17" s="353"/>
      <c r="AB17" s="164"/>
      <c r="AC17" s="351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</row>
    <row r="18" spans="2:40" ht="17.25" customHeight="1" thickBot="1" x14ac:dyDescent="0.3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67">
        <f t="shared" ref="M18:W18" si="10">SUM(M6:M17)</f>
        <v>1147.3999999999999</v>
      </c>
      <c r="N18" s="260">
        <f t="shared" si="10"/>
        <v>1147.3999999999999</v>
      </c>
      <c r="O18" s="260">
        <f t="shared" si="10"/>
        <v>0</v>
      </c>
      <c r="P18" s="260"/>
      <c r="Q18" s="68" t="e">
        <f t="shared" si="10"/>
        <v>#VALUE!</v>
      </c>
      <c r="R18" s="68"/>
      <c r="S18" s="68"/>
      <c r="T18" s="68">
        <f t="shared" si="10"/>
        <v>0</v>
      </c>
      <c r="U18" s="69">
        <f t="shared" si="10"/>
        <v>0</v>
      </c>
      <c r="V18" s="233">
        <f t="shared" si="10"/>
        <v>0</v>
      </c>
      <c r="W18" s="234" t="e">
        <f t="shared" si="10"/>
        <v>#VALUE!</v>
      </c>
      <c r="Z18" s="98"/>
      <c r="AB18" s="79">
        <f>SUM(AB6:AB17)</f>
        <v>0</v>
      </c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</row>
    <row r="19" spans="2:40" ht="16.5" customHeigh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31"/>
      <c r="V19" s="31"/>
      <c r="W19" s="15"/>
      <c r="X19" s="15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</row>
    <row r="20" spans="2:40" ht="16.5" customHeight="1" thickBot="1" x14ac:dyDescent="0.3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31"/>
      <c r="V20" s="31"/>
      <c r="W20" s="15"/>
      <c r="X20" s="15"/>
      <c r="Z20" s="83"/>
      <c r="AA20" s="84"/>
      <c r="AB20" s="85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</row>
    <row r="21" spans="2:40" ht="20.25" customHeight="1" x14ac:dyDescent="0.3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31"/>
      <c r="V21" s="31"/>
      <c r="W21" s="15"/>
      <c r="X21" s="15"/>
      <c r="Z21" s="72" t="s">
        <v>58</v>
      </c>
      <c r="AA21" s="180" t="str">
        <f>IF(ISNUMBER(W18),IF((Plocha_apertury*počet_kolektorů+Plocha_apertury_2*počet_kolektorů_2)=0,0,W18/(Plocha_apertury*počet_kolektorů+Plocha_apertury_2*počet_kolektorů_2)),"")</f>
        <v/>
      </c>
      <c r="AB21" s="32" t="s">
        <v>44</v>
      </c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</row>
    <row r="22" spans="2:40" ht="16.5" customHeight="1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31"/>
      <c r="V22" s="31"/>
      <c r="W22" s="15"/>
      <c r="X22" s="15"/>
      <c r="Z22" s="73" t="s">
        <v>12</v>
      </c>
      <c r="AA22" s="182" t="str">
        <f>IF(AND(ISNUMBER(V18),ISNUMBER(W18)),IF(V18=0,0,100*W18/V18),"")</f>
        <v/>
      </c>
      <c r="AB22" s="33" t="s">
        <v>5</v>
      </c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</row>
    <row r="23" spans="2:40" ht="20.25" customHeight="1" thickBot="1" x14ac:dyDescent="0.4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31"/>
      <c r="V23" s="31"/>
      <c r="W23" s="15"/>
      <c r="X23" s="15"/>
      <c r="Z23" s="174" t="s">
        <v>59</v>
      </c>
      <c r="AA23" s="181" t="str">
        <f>IF(ISNUMBER(W18),+W18,"")</f>
        <v/>
      </c>
      <c r="AB23" s="175" t="s">
        <v>39</v>
      </c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</row>
    <row r="24" spans="2:40" ht="21" customHeight="1" x14ac:dyDescent="0.2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Z24" s="354"/>
      <c r="AA24" s="355"/>
      <c r="AB24" s="356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</row>
    <row r="25" spans="2:40" ht="17.25" customHeight="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</row>
    <row r="26" spans="2:40" ht="17.25" customHeight="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Z26" s="352"/>
      <c r="AA26" s="352"/>
      <c r="AB26" s="35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</row>
    <row r="27" spans="2:40" ht="17.25" customHeight="1" x14ac:dyDescent="0.2">
      <c r="Z27" s="352"/>
      <c r="AA27" s="352"/>
      <c r="AB27" s="35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</row>
    <row r="28" spans="2:40" ht="17.25" customHeight="1" x14ac:dyDescent="0.25">
      <c r="AA28" s="83"/>
      <c r="AB28" s="83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</row>
    <row r="29" spans="2:40" ht="17.25" customHeight="1" x14ac:dyDescent="0.25">
      <c r="Z29" s="160"/>
      <c r="AA29" s="161"/>
      <c r="AB29" s="162"/>
      <c r="AC29" s="78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</row>
    <row r="30" spans="2:40" ht="17.25" customHeight="1" x14ac:dyDescent="0.25">
      <c r="Z30" s="160"/>
      <c r="AA30" s="161"/>
      <c r="AB30" s="162"/>
      <c r="AC30" s="78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</row>
    <row r="31" spans="2:40" ht="17.25" customHeight="1" x14ac:dyDescent="0.2"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</row>
    <row r="32" spans="2:40" ht="17.25" customHeight="1" x14ac:dyDescent="0.2"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</row>
    <row r="33" spans="2:40" ht="17.25" customHeight="1" x14ac:dyDescent="0.2"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</row>
    <row r="34" spans="2:40" ht="17.25" customHeight="1" x14ac:dyDescent="0.2"/>
    <row r="35" spans="2:40" ht="17.25" customHeight="1" x14ac:dyDescent="0.2"/>
    <row r="36" spans="2:40" ht="17.25" customHeight="1" x14ac:dyDescent="0.2"/>
    <row r="37" spans="2:40" ht="17.25" customHeight="1" x14ac:dyDescent="0.2"/>
    <row r="38" spans="2:40" ht="17.25" customHeight="1" x14ac:dyDescent="0.2"/>
    <row r="39" spans="2:40" ht="17.25" hidden="1" customHeight="1" x14ac:dyDescent="0.2"/>
    <row r="40" spans="2:40" ht="17.25" hidden="1" customHeight="1" x14ac:dyDescent="0.2"/>
    <row r="41" spans="2:40" ht="17.25" hidden="1" customHeight="1" x14ac:dyDescent="0.2">
      <c r="Z41" s="352"/>
      <c r="AA41" s="352"/>
      <c r="AB41" s="352"/>
    </row>
    <row r="42" spans="2:40" ht="5.25" hidden="1" customHeight="1" x14ac:dyDescent="0.2"/>
    <row r="43" spans="2:40" ht="17.25" hidden="1" customHeight="1" x14ac:dyDescent="0.2">
      <c r="B43" s="34"/>
      <c r="AC43" s="159"/>
    </row>
    <row r="44" spans="2:40" ht="17.25" hidden="1" customHeight="1" x14ac:dyDescent="0.2">
      <c r="B44" s="34"/>
      <c r="C44" s="34"/>
      <c r="D44" s="34"/>
      <c r="E44" s="34"/>
      <c r="F44" s="34"/>
      <c r="G44" s="34"/>
      <c r="H44" s="34"/>
      <c r="I44" s="34"/>
      <c r="J44" s="34"/>
      <c r="M44" s="34"/>
      <c r="N44" s="34"/>
      <c r="O44" s="34"/>
      <c r="P44" s="34"/>
      <c r="Q44" s="34"/>
      <c r="R44" s="34"/>
      <c r="S44" s="34"/>
      <c r="T44" s="34"/>
      <c r="AC44" s="183"/>
    </row>
    <row r="45" spans="2:40" ht="17.25" hidden="1" customHeight="1" x14ac:dyDescent="0.2"/>
    <row r="46" spans="2:40" ht="17.25" hidden="1" customHeight="1" x14ac:dyDescent="0.2"/>
    <row r="47" spans="2:40" ht="17.25" hidden="1" customHeight="1" x14ac:dyDescent="0.2"/>
  </sheetData>
  <sheetProtection algorithmName="SHA-512" hashValue="n39xD2ZO0aHk4yh4El8OVduxn+C+dJB1z8ylFICM11s8o7BgZgU2UQHsVPctokpyxr5Ijz5rIjPj0aCAogBbeg==" saltValue="yynd3+B2ojUAmTmfZFob9g==" spinCount="100000" sheet="1" formatColumns="0" selectLockedCells="1"/>
  <mergeCells count="5">
    <mergeCell ref="AC4:AC17"/>
    <mergeCell ref="Z41:AB41"/>
    <mergeCell ref="AA6:AA17"/>
    <mergeCell ref="Z26:AB27"/>
    <mergeCell ref="Z24:AB2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1" orientation="landscape" r:id="rId1"/>
  <headerFooter alignWithMargins="0">
    <oddHeader xml:space="preserve">&amp;L
&amp;G&amp;R&amp;KB5CD00 &amp;"Arial Black,Obyčejné"&amp;36C.2 SOL </oddHeader>
    <oddFooter xml:space="preserve">&amp;LVypracováno: &amp;D &amp;T &amp;R- 2 -       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27</xdr:col>
                    <xdr:colOff>19050</xdr:colOff>
                    <xdr:row>4</xdr:row>
                    <xdr:rowOff>9525</xdr:rowOff>
                  </from>
                  <to>
                    <xdr:col>28</xdr:col>
                    <xdr:colOff>9525</xdr:colOff>
                    <xdr:row>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9428B-8E95-44F5-9430-F3E19760F4BA}">
  <sheetPr codeName="List3"/>
  <dimension ref="A1:AC74"/>
  <sheetViews>
    <sheetView topLeftCell="A25" zoomScale="85" zoomScaleNormal="85" workbookViewId="0">
      <selection activeCell="F80" sqref="F80"/>
    </sheetView>
  </sheetViews>
  <sheetFormatPr defaultRowHeight="15" x14ac:dyDescent="0.25"/>
  <cols>
    <col min="1" max="16384" width="9.140625" style="237"/>
  </cols>
  <sheetData>
    <row r="1" spans="1:29" ht="37.5" thickTop="1" thickBot="1" x14ac:dyDescent="0.3">
      <c r="A1" s="239"/>
      <c r="B1" s="254" t="s">
        <v>162</v>
      </c>
      <c r="C1" s="360" t="s">
        <v>161</v>
      </c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2"/>
      <c r="P1" s="239"/>
      <c r="Q1" s="254" t="s">
        <v>162</v>
      </c>
      <c r="R1" s="360" t="s">
        <v>161</v>
      </c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2"/>
    </row>
    <row r="2" spans="1:29" ht="15.75" thickBot="1" x14ac:dyDescent="0.3">
      <c r="A2" s="239"/>
      <c r="B2" s="253" t="s">
        <v>152</v>
      </c>
      <c r="C2" s="252" t="s">
        <v>150</v>
      </c>
      <c r="D2" s="252" t="s">
        <v>149</v>
      </c>
      <c r="E2" s="252" t="s">
        <v>148</v>
      </c>
      <c r="F2" s="252" t="s">
        <v>147</v>
      </c>
      <c r="G2" s="252" t="s">
        <v>146</v>
      </c>
      <c r="H2" s="252" t="s">
        <v>145</v>
      </c>
      <c r="I2" s="252" t="s">
        <v>144</v>
      </c>
      <c r="J2" s="252" t="s">
        <v>143</v>
      </c>
      <c r="K2" s="252" t="s">
        <v>142</v>
      </c>
      <c r="L2" s="252" t="s">
        <v>141</v>
      </c>
      <c r="M2" s="252" t="s">
        <v>140</v>
      </c>
      <c r="N2" s="251" t="s">
        <v>139</v>
      </c>
      <c r="P2" s="239"/>
      <c r="Q2" s="253" t="s">
        <v>152</v>
      </c>
      <c r="R2" s="252" t="s">
        <v>150</v>
      </c>
      <c r="S2" s="252" t="s">
        <v>149</v>
      </c>
      <c r="T2" s="252" t="s">
        <v>148</v>
      </c>
      <c r="U2" s="252" t="s">
        <v>147</v>
      </c>
      <c r="V2" s="252" t="s">
        <v>146</v>
      </c>
      <c r="W2" s="252" t="s">
        <v>145</v>
      </c>
      <c r="X2" s="252" t="s">
        <v>144</v>
      </c>
      <c r="Y2" s="252" t="s">
        <v>143</v>
      </c>
      <c r="Z2" s="252" t="s">
        <v>142</v>
      </c>
      <c r="AA2" s="252" t="s">
        <v>141</v>
      </c>
      <c r="AB2" s="252" t="s">
        <v>140</v>
      </c>
      <c r="AC2" s="251" t="s">
        <v>139</v>
      </c>
    </row>
    <row r="3" spans="1:29" ht="16.5" thickTop="1" thickBot="1" x14ac:dyDescent="0.3">
      <c r="A3" s="239"/>
      <c r="B3" s="357" t="s">
        <v>160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9"/>
      <c r="P3" s="239"/>
      <c r="Q3" s="357" t="s">
        <v>160</v>
      </c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9"/>
    </row>
    <row r="4" spans="1:29" ht="15.75" thickBot="1" x14ac:dyDescent="0.3">
      <c r="A4" s="239">
        <v>0</v>
      </c>
      <c r="B4" s="247">
        <v>0</v>
      </c>
      <c r="C4" s="245">
        <v>175</v>
      </c>
      <c r="D4" s="245">
        <v>253</v>
      </c>
      <c r="E4" s="245">
        <v>365</v>
      </c>
      <c r="F4" s="245">
        <v>446</v>
      </c>
      <c r="G4" s="245">
        <v>498</v>
      </c>
      <c r="H4" s="245">
        <v>514</v>
      </c>
      <c r="I4" s="245">
        <v>501</v>
      </c>
      <c r="J4" s="245">
        <v>462</v>
      </c>
      <c r="K4" s="245">
        <v>388</v>
      </c>
      <c r="L4" s="245">
        <v>285</v>
      </c>
      <c r="M4" s="245">
        <v>195</v>
      </c>
      <c r="N4" s="250">
        <v>150</v>
      </c>
      <c r="P4" s="239">
        <v>0</v>
      </c>
      <c r="Q4" s="247">
        <v>0</v>
      </c>
      <c r="R4" s="245">
        <v>175</v>
      </c>
      <c r="S4" s="245">
        <v>253</v>
      </c>
      <c r="T4" s="245">
        <v>365</v>
      </c>
      <c r="U4" s="245">
        <v>446</v>
      </c>
      <c r="V4" s="245">
        <v>498</v>
      </c>
      <c r="W4" s="245">
        <v>514</v>
      </c>
      <c r="X4" s="245">
        <v>501</v>
      </c>
      <c r="Y4" s="245">
        <v>462</v>
      </c>
      <c r="Z4" s="245">
        <v>388</v>
      </c>
      <c r="AA4" s="245">
        <v>285</v>
      </c>
      <c r="AB4" s="245">
        <v>195</v>
      </c>
      <c r="AC4" s="250">
        <v>150</v>
      </c>
    </row>
    <row r="5" spans="1:29" ht="15.75" thickBot="1" x14ac:dyDescent="0.3">
      <c r="A5" s="239"/>
      <c r="B5" s="247">
        <v>15</v>
      </c>
      <c r="C5" s="245">
        <v>273</v>
      </c>
      <c r="D5" s="245">
        <v>353</v>
      </c>
      <c r="E5" s="245">
        <v>448</v>
      </c>
      <c r="F5" s="245">
        <v>501</v>
      </c>
      <c r="G5" s="245">
        <v>535</v>
      </c>
      <c r="H5" s="245">
        <v>545</v>
      </c>
      <c r="I5" s="245">
        <v>534</v>
      </c>
      <c r="J5" s="245">
        <v>508</v>
      </c>
      <c r="K5" s="245">
        <v>457</v>
      </c>
      <c r="L5" s="245">
        <v>375</v>
      </c>
      <c r="M5" s="245">
        <v>290</v>
      </c>
      <c r="N5" s="250">
        <v>245</v>
      </c>
      <c r="P5" s="239"/>
      <c r="Q5" s="247">
        <v>15</v>
      </c>
      <c r="R5" s="245">
        <v>273</v>
      </c>
      <c r="S5" s="245">
        <v>353</v>
      </c>
      <c r="T5" s="245">
        <v>448</v>
      </c>
      <c r="U5" s="245">
        <v>501</v>
      </c>
      <c r="V5" s="245">
        <v>535</v>
      </c>
      <c r="W5" s="245">
        <v>545</v>
      </c>
      <c r="X5" s="245">
        <v>534</v>
      </c>
      <c r="Y5" s="245">
        <v>508</v>
      </c>
      <c r="Z5" s="245">
        <v>457</v>
      </c>
      <c r="AA5" s="245">
        <v>375</v>
      </c>
      <c r="AB5" s="245">
        <v>290</v>
      </c>
      <c r="AC5" s="250">
        <v>245</v>
      </c>
    </row>
    <row r="6" spans="1:29" ht="15.75" thickBot="1" x14ac:dyDescent="0.3">
      <c r="A6" s="239"/>
      <c r="B6" s="247">
        <v>30</v>
      </c>
      <c r="C6" s="245">
        <v>356</v>
      </c>
      <c r="D6" s="245">
        <v>434</v>
      </c>
      <c r="E6" s="245">
        <v>506</v>
      </c>
      <c r="F6" s="245">
        <v>529</v>
      </c>
      <c r="G6" s="245">
        <v>543</v>
      </c>
      <c r="H6" s="245">
        <v>546</v>
      </c>
      <c r="I6" s="245">
        <v>538</v>
      </c>
      <c r="J6" s="245">
        <v>526</v>
      </c>
      <c r="K6" s="245">
        <v>501</v>
      </c>
      <c r="L6" s="245">
        <v>444</v>
      </c>
      <c r="M6" s="245">
        <v>369</v>
      </c>
      <c r="N6" s="250">
        <v>325</v>
      </c>
      <c r="P6" s="239"/>
      <c r="Q6" s="247">
        <v>30</v>
      </c>
      <c r="R6" s="245">
        <v>356</v>
      </c>
      <c r="S6" s="245">
        <v>434</v>
      </c>
      <c r="T6" s="245">
        <v>506</v>
      </c>
      <c r="U6" s="245">
        <v>529</v>
      </c>
      <c r="V6" s="245">
        <v>543</v>
      </c>
      <c r="W6" s="245">
        <v>546</v>
      </c>
      <c r="X6" s="245">
        <v>538</v>
      </c>
      <c r="Y6" s="245">
        <v>526</v>
      </c>
      <c r="Z6" s="245">
        <v>501</v>
      </c>
      <c r="AA6" s="245">
        <v>444</v>
      </c>
      <c r="AB6" s="245">
        <v>369</v>
      </c>
      <c r="AC6" s="250">
        <v>325</v>
      </c>
    </row>
    <row r="7" spans="1:29" ht="15.75" thickBot="1" x14ac:dyDescent="0.3">
      <c r="A7" s="239"/>
      <c r="B7" s="247">
        <v>45</v>
      </c>
      <c r="C7" s="245">
        <v>418</v>
      </c>
      <c r="D7" s="245">
        <v>489</v>
      </c>
      <c r="E7" s="245">
        <v>535</v>
      </c>
      <c r="F7" s="245">
        <v>527</v>
      </c>
      <c r="G7" s="245">
        <v>521</v>
      </c>
      <c r="H7" s="245">
        <v>517</v>
      </c>
      <c r="I7" s="245">
        <v>512</v>
      </c>
      <c r="J7" s="245">
        <v>515</v>
      </c>
      <c r="K7" s="245">
        <v>516</v>
      </c>
      <c r="L7" s="245">
        <v>488</v>
      </c>
      <c r="M7" s="245">
        <v>427</v>
      </c>
      <c r="N7" s="250">
        <v>387</v>
      </c>
      <c r="P7" s="239"/>
      <c r="Q7" s="247">
        <v>45</v>
      </c>
      <c r="R7" s="245">
        <v>418</v>
      </c>
      <c r="S7" s="245">
        <v>489</v>
      </c>
      <c r="T7" s="245">
        <v>535</v>
      </c>
      <c r="U7" s="245">
        <v>527</v>
      </c>
      <c r="V7" s="245">
        <v>521</v>
      </c>
      <c r="W7" s="245">
        <v>517</v>
      </c>
      <c r="X7" s="245">
        <v>512</v>
      </c>
      <c r="Y7" s="245">
        <v>515</v>
      </c>
      <c r="Z7" s="245">
        <v>516</v>
      </c>
      <c r="AA7" s="245">
        <v>488</v>
      </c>
      <c r="AB7" s="245">
        <v>427</v>
      </c>
      <c r="AC7" s="250">
        <v>387</v>
      </c>
    </row>
    <row r="8" spans="1:29" ht="15.75" thickBot="1" x14ac:dyDescent="0.3">
      <c r="A8" s="239"/>
      <c r="B8" s="247">
        <v>60</v>
      </c>
      <c r="C8" s="245">
        <v>454</v>
      </c>
      <c r="D8" s="245">
        <v>514</v>
      </c>
      <c r="E8" s="245">
        <v>533</v>
      </c>
      <c r="F8" s="245">
        <v>496</v>
      </c>
      <c r="G8" s="245">
        <v>470</v>
      </c>
      <c r="H8" s="245">
        <v>460</v>
      </c>
      <c r="I8" s="245">
        <v>459</v>
      </c>
      <c r="J8" s="245">
        <v>476</v>
      </c>
      <c r="K8" s="245">
        <v>503</v>
      </c>
      <c r="L8" s="245">
        <v>502</v>
      </c>
      <c r="M8" s="245">
        <v>458</v>
      </c>
      <c r="N8" s="250">
        <v>424</v>
      </c>
      <c r="P8" s="239"/>
      <c r="Q8" s="247">
        <v>60</v>
      </c>
      <c r="R8" s="245">
        <v>454</v>
      </c>
      <c r="S8" s="245">
        <v>514</v>
      </c>
      <c r="T8" s="245">
        <v>533</v>
      </c>
      <c r="U8" s="245">
        <v>496</v>
      </c>
      <c r="V8" s="245">
        <v>470</v>
      </c>
      <c r="W8" s="245">
        <v>460</v>
      </c>
      <c r="X8" s="245">
        <v>459</v>
      </c>
      <c r="Y8" s="245">
        <v>476</v>
      </c>
      <c r="Z8" s="245">
        <v>503</v>
      </c>
      <c r="AA8" s="245">
        <v>502</v>
      </c>
      <c r="AB8" s="245">
        <v>458</v>
      </c>
      <c r="AC8" s="250">
        <v>424</v>
      </c>
    </row>
    <row r="9" spans="1:29" ht="15.75" thickBot="1" x14ac:dyDescent="0.3">
      <c r="A9" s="239"/>
      <c r="B9" s="247">
        <v>75</v>
      </c>
      <c r="C9" s="245">
        <v>463</v>
      </c>
      <c r="D9" s="245">
        <v>509</v>
      </c>
      <c r="E9" s="245">
        <v>500</v>
      </c>
      <c r="F9" s="245">
        <v>437</v>
      </c>
      <c r="G9" s="245">
        <v>394</v>
      </c>
      <c r="H9" s="245">
        <v>379</v>
      </c>
      <c r="I9" s="245">
        <v>381</v>
      </c>
      <c r="J9" s="245">
        <v>411</v>
      </c>
      <c r="K9" s="245">
        <v>461</v>
      </c>
      <c r="L9" s="245">
        <v>488</v>
      </c>
      <c r="M9" s="245">
        <v>462</v>
      </c>
      <c r="N9" s="250">
        <v>436</v>
      </c>
      <c r="P9" s="239"/>
      <c r="Q9" s="247">
        <v>75</v>
      </c>
      <c r="R9" s="245">
        <v>463</v>
      </c>
      <c r="S9" s="245">
        <v>509</v>
      </c>
      <c r="T9" s="245">
        <v>500</v>
      </c>
      <c r="U9" s="245">
        <v>437</v>
      </c>
      <c r="V9" s="245">
        <v>394</v>
      </c>
      <c r="W9" s="245">
        <v>379</v>
      </c>
      <c r="X9" s="245">
        <v>381</v>
      </c>
      <c r="Y9" s="245">
        <v>411</v>
      </c>
      <c r="Z9" s="245">
        <v>461</v>
      </c>
      <c r="AA9" s="245">
        <v>488</v>
      </c>
      <c r="AB9" s="245">
        <v>462</v>
      </c>
      <c r="AC9" s="250">
        <v>436</v>
      </c>
    </row>
    <row r="10" spans="1:29" ht="15.75" thickBot="1" x14ac:dyDescent="0.3">
      <c r="A10" s="239"/>
      <c r="B10" s="246">
        <v>90</v>
      </c>
      <c r="C10" s="249">
        <v>443</v>
      </c>
      <c r="D10" s="249">
        <v>473</v>
      </c>
      <c r="E10" s="249">
        <v>438</v>
      </c>
      <c r="F10" s="249">
        <v>355</v>
      </c>
      <c r="G10" s="249">
        <v>299</v>
      </c>
      <c r="H10" s="249">
        <v>279</v>
      </c>
      <c r="I10" s="249">
        <v>285</v>
      </c>
      <c r="J10" s="249">
        <v>325</v>
      </c>
      <c r="K10" s="249">
        <v>393</v>
      </c>
      <c r="L10" s="249">
        <v>444</v>
      </c>
      <c r="M10" s="249">
        <v>438</v>
      </c>
      <c r="N10" s="248">
        <v>421</v>
      </c>
      <c r="P10" s="239"/>
      <c r="Q10" s="246">
        <v>90</v>
      </c>
      <c r="R10" s="249">
        <v>443</v>
      </c>
      <c r="S10" s="249">
        <v>473</v>
      </c>
      <c r="T10" s="249">
        <v>438</v>
      </c>
      <c r="U10" s="249">
        <v>355</v>
      </c>
      <c r="V10" s="249">
        <v>299</v>
      </c>
      <c r="W10" s="249">
        <v>279</v>
      </c>
      <c r="X10" s="249">
        <v>285</v>
      </c>
      <c r="Y10" s="249">
        <v>325</v>
      </c>
      <c r="Z10" s="249">
        <v>393</v>
      </c>
      <c r="AA10" s="249">
        <v>444</v>
      </c>
      <c r="AB10" s="249">
        <v>438</v>
      </c>
      <c r="AC10" s="248">
        <v>421</v>
      </c>
    </row>
    <row r="11" spans="1:29" ht="16.5" thickTop="1" thickBot="1" x14ac:dyDescent="0.3">
      <c r="A11" s="239"/>
      <c r="B11" s="357" t="s">
        <v>159</v>
      </c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9"/>
      <c r="P11" s="239"/>
      <c r="Q11" s="357" t="s">
        <v>159</v>
      </c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9"/>
    </row>
    <row r="12" spans="1:29" ht="15.75" thickBot="1" x14ac:dyDescent="0.3">
      <c r="A12" s="239">
        <v>15</v>
      </c>
      <c r="B12" s="247">
        <v>15</v>
      </c>
      <c r="C12" s="245">
        <v>270</v>
      </c>
      <c r="D12" s="245">
        <v>350</v>
      </c>
      <c r="E12" s="245">
        <v>445</v>
      </c>
      <c r="F12" s="245">
        <v>499</v>
      </c>
      <c r="G12" s="245">
        <v>534</v>
      </c>
      <c r="H12" s="245">
        <v>543</v>
      </c>
      <c r="I12" s="245">
        <v>533</v>
      </c>
      <c r="J12" s="245">
        <v>506</v>
      </c>
      <c r="K12" s="245">
        <v>454</v>
      </c>
      <c r="L12" s="245">
        <v>372</v>
      </c>
      <c r="M12" s="245">
        <v>287</v>
      </c>
      <c r="N12" s="250">
        <v>241</v>
      </c>
      <c r="P12" s="239">
        <v>15</v>
      </c>
      <c r="Q12" s="247">
        <v>15</v>
      </c>
      <c r="R12" s="245">
        <v>270</v>
      </c>
      <c r="S12" s="245">
        <v>350</v>
      </c>
      <c r="T12" s="245">
        <v>445</v>
      </c>
      <c r="U12" s="245">
        <v>499</v>
      </c>
      <c r="V12" s="245">
        <v>534</v>
      </c>
      <c r="W12" s="245">
        <v>543</v>
      </c>
      <c r="X12" s="245">
        <v>533</v>
      </c>
      <c r="Y12" s="245">
        <v>506</v>
      </c>
      <c r="Z12" s="245">
        <v>454</v>
      </c>
      <c r="AA12" s="245">
        <v>372</v>
      </c>
      <c r="AB12" s="245">
        <v>287</v>
      </c>
      <c r="AC12" s="250">
        <v>241</v>
      </c>
    </row>
    <row r="13" spans="1:29" ht="15.75" thickBot="1" x14ac:dyDescent="0.3">
      <c r="A13" s="239"/>
      <c r="B13" s="247">
        <v>30</v>
      </c>
      <c r="C13" s="245">
        <v>349</v>
      </c>
      <c r="D13" s="245">
        <v>427</v>
      </c>
      <c r="E13" s="245">
        <v>500</v>
      </c>
      <c r="F13" s="245">
        <v>525</v>
      </c>
      <c r="G13" s="245">
        <v>540</v>
      </c>
      <c r="H13" s="245">
        <v>543</v>
      </c>
      <c r="I13" s="245">
        <v>535</v>
      </c>
      <c r="J13" s="245">
        <v>522</v>
      </c>
      <c r="K13" s="245">
        <v>496</v>
      </c>
      <c r="L13" s="245">
        <v>438</v>
      </c>
      <c r="M13" s="245">
        <v>363</v>
      </c>
      <c r="N13" s="250">
        <v>319</v>
      </c>
      <c r="P13" s="239"/>
      <c r="Q13" s="247">
        <v>30</v>
      </c>
      <c r="R13" s="245">
        <v>349</v>
      </c>
      <c r="S13" s="245">
        <v>427</v>
      </c>
      <c r="T13" s="245">
        <v>500</v>
      </c>
      <c r="U13" s="245">
        <v>525</v>
      </c>
      <c r="V13" s="245">
        <v>540</v>
      </c>
      <c r="W13" s="245">
        <v>543</v>
      </c>
      <c r="X13" s="245">
        <v>535</v>
      </c>
      <c r="Y13" s="245">
        <v>522</v>
      </c>
      <c r="Z13" s="245">
        <v>496</v>
      </c>
      <c r="AA13" s="245">
        <v>438</v>
      </c>
      <c r="AB13" s="245">
        <v>363</v>
      </c>
      <c r="AC13" s="250">
        <v>319</v>
      </c>
    </row>
    <row r="14" spans="1:29" ht="15.75" thickBot="1" x14ac:dyDescent="0.3">
      <c r="A14" s="239"/>
      <c r="B14" s="247">
        <v>45</v>
      </c>
      <c r="C14" s="245">
        <v>408</v>
      </c>
      <c r="D14" s="245">
        <v>479</v>
      </c>
      <c r="E14" s="245">
        <v>526</v>
      </c>
      <c r="F14" s="245">
        <v>521</v>
      </c>
      <c r="G14" s="245">
        <v>516</v>
      </c>
      <c r="H14" s="245">
        <v>512</v>
      </c>
      <c r="I14" s="245">
        <v>508</v>
      </c>
      <c r="J14" s="245">
        <v>509</v>
      </c>
      <c r="K14" s="245">
        <v>509</v>
      </c>
      <c r="L14" s="245">
        <v>479</v>
      </c>
      <c r="M14" s="245">
        <v>417</v>
      </c>
      <c r="N14" s="250">
        <v>377</v>
      </c>
      <c r="P14" s="239"/>
      <c r="Q14" s="247">
        <v>45</v>
      </c>
      <c r="R14" s="245">
        <v>408</v>
      </c>
      <c r="S14" s="245">
        <v>479</v>
      </c>
      <c r="T14" s="245">
        <v>526</v>
      </c>
      <c r="U14" s="245">
        <v>521</v>
      </c>
      <c r="V14" s="245">
        <v>516</v>
      </c>
      <c r="W14" s="245">
        <v>512</v>
      </c>
      <c r="X14" s="245">
        <v>508</v>
      </c>
      <c r="Y14" s="245">
        <v>509</v>
      </c>
      <c r="Z14" s="245">
        <v>509</v>
      </c>
      <c r="AA14" s="245">
        <v>479</v>
      </c>
      <c r="AB14" s="245">
        <v>417</v>
      </c>
      <c r="AC14" s="250">
        <v>377</v>
      </c>
    </row>
    <row r="15" spans="1:29" ht="15.75" thickBot="1" x14ac:dyDescent="0.3">
      <c r="A15" s="239"/>
      <c r="B15" s="247">
        <v>60</v>
      </c>
      <c r="C15" s="245">
        <v>442</v>
      </c>
      <c r="D15" s="245">
        <v>502</v>
      </c>
      <c r="E15" s="245">
        <v>522</v>
      </c>
      <c r="F15" s="245">
        <v>488</v>
      </c>
      <c r="G15" s="245">
        <v>464</v>
      </c>
      <c r="H15" s="245">
        <v>455</v>
      </c>
      <c r="I15" s="245">
        <v>453</v>
      </c>
      <c r="J15" s="245">
        <v>469</v>
      </c>
      <c r="K15" s="245">
        <v>494</v>
      </c>
      <c r="L15" s="245">
        <v>491</v>
      </c>
      <c r="M15" s="245">
        <v>447</v>
      </c>
      <c r="N15" s="250">
        <v>413</v>
      </c>
      <c r="P15" s="239"/>
      <c r="Q15" s="247">
        <v>60</v>
      </c>
      <c r="R15" s="245">
        <v>442</v>
      </c>
      <c r="S15" s="245">
        <v>502</v>
      </c>
      <c r="T15" s="245">
        <v>522</v>
      </c>
      <c r="U15" s="245">
        <v>488</v>
      </c>
      <c r="V15" s="245">
        <v>464</v>
      </c>
      <c r="W15" s="245">
        <v>455</v>
      </c>
      <c r="X15" s="245">
        <v>453</v>
      </c>
      <c r="Y15" s="245">
        <v>469</v>
      </c>
      <c r="Z15" s="245">
        <v>494</v>
      </c>
      <c r="AA15" s="245">
        <v>491</v>
      </c>
      <c r="AB15" s="245">
        <v>447</v>
      </c>
      <c r="AC15" s="250">
        <v>413</v>
      </c>
    </row>
    <row r="16" spans="1:29" ht="15.75" thickBot="1" x14ac:dyDescent="0.3">
      <c r="A16" s="239"/>
      <c r="B16" s="247">
        <v>75</v>
      </c>
      <c r="C16" s="245">
        <v>449</v>
      </c>
      <c r="D16" s="245">
        <v>495</v>
      </c>
      <c r="E16" s="245">
        <v>488</v>
      </c>
      <c r="F16" s="245">
        <v>428</v>
      </c>
      <c r="G16" s="245">
        <v>388</v>
      </c>
      <c r="H16" s="245">
        <v>373</v>
      </c>
      <c r="I16" s="245">
        <v>375</v>
      </c>
      <c r="J16" s="245">
        <v>403</v>
      </c>
      <c r="K16" s="245">
        <v>451</v>
      </c>
      <c r="L16" s="245">
        <v>475</v>
      </c>
      <c r="M16" s="245">
        <v>449</v>
      </c>
      <c r="N16" s="250">
        <v>423</v>
      </c>
      <c r="P16" s="239"/>
      <c r="Q16" s="247">
        <v>75</v>
      </c>
      <c r="R16" s="245">
        <v>449</v>
      </c>
      <c r="S16" s="245">
        <v>495</v>
      </c>
      <c r="T16" s="245">
        <v>488</v>
      </c>
      <c r="U16" s="245">
        <v>428</v>
      </c>
      <c r="V16" s="245">
        <v>388</v>
      </c>
      <c r="W16" s="245">
        <v>373</v>
      </c>
      <c r="X16" s="245">
        <v>375</v>
      </c>
      <c r="Y16" s="245">
        <v>403</v>
      </c>
      <c r="Z16" s="245">
        <v>451</v>
      </c>
      <c r="AA16" s="245">
        <v>475</v>
      </c>
      <c r="AB16" s="245">
        <v>449</v>
      </c>
      <c r="AC16" s="250">
        <v>423</v>
      </c>
    </row>
    <row r="17" spans="1:29" ht="15.75" thickBot="1" x14ac:dyDescent="0.3">
      <c r="A17" s="239"/>
      <c r="B17" s="246">
        <v>90</v>
      </c>
      <c r="C17" s="249">
        <v>429</v>
      </c>
      <c r="D17" s="249">
        <v>459</v>
      </c>
      <c r="E17" s="249">
        <v>426</v>
      </c>
      <c r="F17" s="249">
        <v>346</v>
      </c>
      <c r="G17" s="249">
        <v>292</v>
      </c>
      <c r="H17" s="249">
        <v>273</v>
      </c>
      <c r="I17" s="249">
        <v>279</v>
      </c>
      <c r="J17" s="249">
        <v>317</v>
      </c>
      <c r="K17" s="249">
        <v>383</v>
      </c>
      <c r="L17" s="249">
        <v>431</v>
      </c>
      <c r="M17" s="249">
        <v>425</v>
      </c>
      <c r="N17" s="248">
        <v>408</v>
      </c>
      <c r="P17" s="239"/>
      <c r="Q17" s="246">
        <v>90</v>
      </c>
      <c r="R17" s="249">
        <v>429</v>
      </c>
      <c r="S17" s="249">
        <v>459</v>
      </c>
      <c r="T17" s="249">
        <v>426</v>
      </c>
      <c r="U17" s="249">
        <v>346</v>
      </c>
      <c r="V17" s="249">
        <v>292</v>
      </c>
      <c r="W17" s="249">
        <v>273</v>
      </c>
      <c r="X17" s="249">
        <v>279</v>
      </c>
      <c r="Y17" s="249">
        <v>317</v>
      </c>
      <c r="Z17" s="249">
        <v>383</v>
      </c>
      <c r="AA17" s="249">
        <v>431</v>
      </c>
      <c r="AB17" s="249">
        <v>425</v>
      </c>
      <c r="AC17" s="248">
        <v>408</v>
      </c>
    </row>
    <row r="18" spans="1:29" ht="16.5" thickTop="1" thickBot="1" x14ac:dyDescent="0.3">
      <c r="A18" s="239"/>
      <c r="B18" s="357" t="s">
        <v>158</v>
      </c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9"/>
      <c r="P18" s="239"/>
      <c r="Q18" s="357" t="s">
        <v>158</v>
      </c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9"/>
    </row>
    <row r="19" spans="1:29" ht="15.75" thickBot="1" x14ac:dyDescent="0.3">
      <c r="A19" s="239">
        <v>30</v>
      </c>
      <c r="B19" s="247">
        <v>15</v>
      </c>
      <c r="C19" s="245">
        <v>259</v>
      </c>
      <c r="D19" s="245">
        <v>339</v>
      </c>
      <c r="E19" s="245">
        <v>435</v>
      </c>
      <c r="F19" s="245">
        <v>492</v>
      </c>
      <c r="G19" s="245">
        <v>529</v>
      </c>
      <c r="H19" s="245">
        <v>539</v>
      </c>
      <c r="I19" s="245">
        <v>528</v>
      </c>
      <c r="J19" s="245">
        <v>500</v>
      </c>
      <c r="K19" s="245">
        <v>446</v>
      </c>
      <c r="L19" s="245">
        <v>362</v>
      </c>
      <c r="M19" s="245">
        <v>277</v>
      </c>
      <c r="N19" s="250">
        <v>232</v>
      </c>
      <c r="P19" s="239">
        <v>30</v>
      </c>
      <c r="Q19" s="247">
        <v>15</v>
      </c>
      <c r="R19" s="245">
        <v>259</v>
      </c>
      <c r="S19" s="245">
        <v>339</v>
      </c>
      <c r="T19" s="245">
        <v>435</v>
      </c>
      <c r="U19" s="245">
        <v>492</v>
      </c>
      <c r="V19" s="245">
        <v>529</v>
      </c>
      <c r="W19" s="245">
        <v>539</v>
      </c>
      <c r="X19" s="245">
        <v>528</v>
      </c>
      <c r="Y19" s="245">
        <v>500</v>
      </c>
      <c r="Z19" s="245">
        <v>446</v>
      </c>
      <c r="AA19" s="245">
        <v>362</v>
      </c>
      <c r="AB19" s="245">
        <v>277</v>
      </c>
      <c r="AC19" s="250">
        <v>232</v>
      </c>
    </row>
    <row r="20" spans="1:29" ht="15.75" thickBot="1" x14ac:dyDescent="0.3">
      <c r="A20" s="239"/>
      <c r="B20" s="247">
        <v>30</v>
      </c>
      <c r="C20" s="245">
        <v>329</v>
      </c>
      <c r="D20" s="245">
        <v>406</v>
      </c>
      <c r="E20" s="245">
        <v>482</v>
      </c>
      <c r="F20" s="245">
        <v>512</v>
      </c>
      <c r="G20" s="245">
        <v>530</v>
      </c>
      <c r="H20" s="245">
        <v>534</v>
      </c>
      <c r="I20" s="245">
        <v>526</v>
      </c>
      <c r="J20" s="245">
        <v>511</v>
      </c>
      <c r="K20" s="245">
        <v>480</v>
      </c>
      <c r="L20" s="245">
        <v>419</v>
      </c>
      <c r="M20" s="245">
        <v>343</v>
      </c>
      <c r="N20" s="250">
        <v>300</v>
      </c>
      <c r="P20" s="239"/>
      <c r="Q20" s="247">
        <v>30</v>
      </c>
      <c r="R20" s="245">
        <v>329</v>
      </c>
      <c r="S20" s="245">
        <v>406</v>
      </c>
      <c r="T20" s="245">
        <v>482</v>
      </c>
      <c r="U20" s="245">
        <v>512</v>
      </c>
      <c r="V20" s="245">
        <v>530</v>
      </c>
      <c r="W20" s="245">
        <v>534</v>
      </c>
      <c r="X20" s="245">
        <v>526</v>
      </c>
      <c r="Y20" s="245">
        <v>511</v>
      </c>
      <c r="Z20" s="245">
        <v>480</v>
      </c>
      <c r="AA20" s="245">
        <v>419</v>
      </c>
      <c r="AB20" s="245">
        <v>343</v>
      </c>
      <c r="AC20" s="250">
        <v>300</v>
      </c>
    </row>
    <row r="21" spans="1:29" ht="15.75" thickBot="1" x14ac:dyDescent="0.3">
      <c r="A21" s="239"/>
      <c r="B21" s="247">
        <v>45</v>
      </c>
      <c r="C21" s="245">
        <v>380</v>
      </c>
      <c r="D21" s="245">
        <v>449</v>
      </c>
      <c r="E21" s="245">
        <v>501</v>
      </c>
      <c r="F21" s="245">
        <v>502</v>
      </c>
      <c r="G21" s="245">
        <v>502</v>
      </c>
      <c r="H21" s="245">
        <v>500</v>
      </c>
      <c r="I21" s="245">
        <v>495</v>
      </c>
      <c r="J21" s="245">
        <v>494</v>
      </c>
      <c r="K21" s="245">
        <v>487</v>
      </c>
      <c r="L21" s="245">
        <v>452</v>
      </c>
      <c r="M21" s="245">
        <v>390</v>
      </c>
      <c r="N21" s="250">
        <v>351</v>
      </c>
      <c r="P21" s="239"/>
      <c r="Q21" s="247">
        <v>45</v>
      </c>
      <c r="R21" s="245">
        <v>380</v>
      </c>
      <c r="S21" s="245">
        <v>449</v>
      </c>
      <c r="T21" s="245">
        <v>501</v>
      </c>
      <c r="U21" s="245">
        <v>502</v>
      </c>
      <c r="V21" s="245">
        <v>502</v>
      </c>
      <c r="W21" s="245">
        <v>500</v>
      </c>
      <c r="X21" s="245">
        <v>495</v>
      </c>
      <c r="Y21" s="245">
        <v>494</v>
      </c>
      <c r="Z21" s="245">
        <v>487</v>
      </c>
      <c r="AA21" s="245">
        <v>452</v>
      </c>
      <c r="AB21" s="245">
        <v>390</v>
      </c>
      <c r="AC21" s="250">
        <v>351</v>
      </c>
    </row>
    <row r="22" spans="1:29" ht="15.75" thickBot="1" x14ac:dyDescent="0.3">
      <c r="A22" s="239"/>
      <c r="B22" s="247">
        <v>60</v>
      </c>
      <c r="C22" s="245">
        <v>408</v>
      </c>
      <c r="D22" s="245">
        <v>466</v>
      </c>
      <c r="E22" s="245">
        <v>491</v>
      </c>
      <c r="F22" s="245">
        <v>465</v>
      </c>
      <c r="G22" s="245">
        <v>447</v>
      </c>
      <c r="H22" s="245">
        <v>440</v>
      </c>
      <c r="I22" s="245">
        <v>438</v>
      </c>
      <c r="J22" s="245">
        <v>449</v>
      </c>
      <c r="K22" s="245">
        <v>467</v>
      </c>
      <c r="L22" s="245">
        <v>459</v>
      </c>
      <c r="M22" s="245">
        <v>413</v>
      </c>
      <c r="N22" s="250">
        <v>380</v>
      </c>
      <c r="P22" s="239"/>
      <c r="Q22" s="247">
        <v>60</v>
      </c>
      <c r="R22" s="245">
        <v>408</v>
      </c>
      <c r="S22" s="245">
        <v>466</v>
      </c>
      <c r="T22" s="245">
        <v>491</v>
      </c>
      <c r="U22" s="245">
        <v>465</v>
      </c>
      <c r="V22" s="245">
        <v>447</v>
      </c>
      <c r="W22" s="245">
        <v>440</v>
      </c>
      <c r="X22" s="245">
        <v>438</v>
      </c>
      <c r="Y22" s="245">
        <v>449</v>
      </c>
      <c r="Z22" s="245">
        <v>467</v>
      </c>
      <c r="AA22" s="245">
        <v>459</v>
      </c>
      <c r="AB22" s="245">
        <v>413</v>
      </c>
      <c r="AC22" s="250">
        <v>380</v>
      </c>
    </row>
    <row r="23" spans="1:29" ht="15.75" thickBot="1" x14ac:dyDescent="0.3">
      <c r="A23" s="239"/>
      <c r="B23" s="247">
        <v>75</v>
      </c>
      <c r="C23" s="245">
        <v>411</v>
      </c>
      <c r="D23" s="245">
        <v>455</v>
      </c>
      <c r="E23" s="245">
        <v>453</v>
      </c>
      <c r="F23" s="245">
        <v>403</v>
      </c>
      <c r="G23" s="245">
        <v>369</v>
      </c>
      <c r="H23" s="245">
        <v>356</v>
      </c>
      <c r="I23" s="245">
        <v>358</v>
      </c>
      <c r="J23" s="245">
        <v>382</v>
      </c>
      <c r="K23" s="245">
        <v>421</v>
      </c>
      <c r="L23" s="245">
        <v>439</v>
      </c>
      <c r="M23" s="245">
        <v>412</v>
      </c>
      <c r="N23" s="250">
        <v>387</v>
      </c>
      <c r="P23" s="239"/>
      <c r="Q23" s="247">
        <v>75</v>
      </c>
      <c r="R23" s="245">
        <v>411</v>
      </c>
      <c r="S23" s="245">
        <v>455</v>
      </c>
      <c r="T23" s="245">
        <v>453</v>
      </c>
      <c r="U23" s="245">
        <v>403</v>
      </c>
      <c r="V23" s="245">
        <v>369</v>
      </c>
      <c r="W23" s="245">
        <v>356</v>
      </c>
      <c r="X23" s="245">
        <v>358</v>
      </c>
      <c r="Y23" s="245">
        <v>382</v>
      </c>
      <c r="Z23" s="245">
        <v>421</v>
      </c>
      <c r="AA23" s="245">
        <v>439</v>
      </c>
      <c r="AB23" s="245">
        <v>412</v>
      </c>
      <c r="AC23" s="250">
        <v>387</v>
      </c>
    </row>
    <row r="24" spans="1:29" ht="15.75" thickBot="1" x14ac:dyDescent="0.3">
      <c r="A24" s="239"/>
      <c r="B24" s="246">
        <v>90</v>
      </c>
      <c r="C24" s="249">
        <v>390</v>
      </c>
      <c r="D24" s="249">
        <v>418</v>
      </c>
      <c r="E24" s="249">
        <v>390</v>
      </c>
      <c r="F24" s="249">
        <v>320</v>
      </c>
      <c r="G24" s="249">
        <v>273</v>
      </c>
      <c r="H24" s="249">
        <v>256</v>
      </c>
      <c r="I24" s="249">
        <v>261</v>
      </c>
      <c r="J24" s="249">
        <v>294</v>
      </c>
      <c r="K24" s="249">
        <v>352</v>
      </c>
      <c r="L24" s="249">
        <v>394</v>
      </c>
      <c r="M24" s="249">
        <v>386</v>
      </c>
      <c r="N24" s="248">
        <v>370</v>
      </c>
      <c r="P24" s="239"/>
      <c r="Q24" s="246">
        <v>90</v>
      </c>
      <c r="R24" s="249">
        <v>390</v>
      </c>
      <c r="S24" s="249">
        <v>418</v>
      </c>
      <c r="T24" s="249">
        <v>390</v>
      </c>
      <c r="U24" s="249">
        <v>320</v>
      </c>
      <c r="V24" s="249">
        <v>273</v>
      </c>
      <c r="W24" s="249">
        <v>256</v>
      </c>
      <c r="X24" s="249">
        <v>261</v>
      </c>
      <c r="Y24" s="249">
        <v>294</v>
      </c>
      <c r="Z24" s="249">
        <v>352</v>
      </c>
      <c r="AA24" s="249">
        <v>394</v>
      </c>
      <c r="AB24" s="249">
        <v>386</v>
      </c>
      <c r="AC24" s="248">
        <v>370</v>
      </c>
    </row>
    <row r="25" spans="1:29" ht="16.5" thickTop="1" thickBot="1" x14ac:dyDescent="0.3">
      <c r="A25" s="239"/>
      <c r="B25" s="357" t="s">
        <v>157</v>
      </c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9"/>
      <c r="P25" s="239"/>
      <c r="Q25" s="357" t="s">
        <v>157</v>
      </c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9"/>
    </row>
    <row r="26" spans="1:29" ht="15.75" thickBot="1" x14ac:dyDescent="0.3">
      <c r="A26" s="239">
        <v>45</v>
      </c>
      <c r="B26" s="247">
        <v>15</v>
      </c>
      <c r="C26" s="245">
        <v>243</v>
      </c>
      <c r="D26" s="245">
        <v>322</v>
      </c>
      <c r="E26" s="245">
        <v>421</v>
      </c>
      <c r="F26" s="245">
        <v>482</v>
      </c>
      <c r="G26" s="245">
        <v>521</v>
      </c>
      <c r="H26" s="245">
        <v>532</v>
      </c>
      <c r="I26" s="245">
        <v>521</v>
      </c>
      <c r="J26" s="245">
        <v>491</v>
      </c>
      <c r="K26" s="245">
        <v>434</v>
      </c>
      <c r="L26" s="245">
        <v>347</v>
      </c>
      <c r="M26" s="245">
        <v>261</v>
      </c>
      <c r="N26" s="250">
        <v>216</v>
      </c>
      <c r="P26" s="239">
        <v>45</v>
      </c>
      <c r="Q26" s="247">
        <v>15</v>
      </c>
      <c r="R26" s="245">
        <v>243</v>
      </c>
      <c r="S26" s="245">
        <v>322</v>
      </c>
      <c r="T26" s="245">
        <v>421</v>
      </c>
      <c r="U26" s="245">
        <v>482</v>
      </c>
      <c r="V26" s="245">
        <v>521</v>
      </c>
      <c r="W26" s="245">
        <v>532</v>
      </c>
      <c r="X26" s="245">
        <v>521</v>
      </c>
      <c r="Y26" s="245">
        <v>491</v>
      </c>
      <c r="Z26" s="245">
        <v>434</v>
      </c>
      <c r="AA26" s="245">
        <v>347</v>
      </c>
      <c r="AB26" s="245">
        <v>261</v>
      </c>
      <c r="AC26" s="250">
        <v>216</v>
      </c>
    </row>
    <row r="27" spans="1:29" ht="15.75" thickBot="1" x14ac:dyDescent="0.3">
      <c r="A27" s="239"/>
      <c r="B27" s="247">
        <v>30</v>
      </c>
      <c r="C27" s="245">
        <v>298</v>
      </c>
      <c r="D27" s="245">
        <v>373</v>
      </c>
      <c r="E27" s="245">
        <v>453</v>
      </c>
      <c r="F27" s="245">
        <v>491</v>
      </c>
      <c r="G27" s="245">
        <v>514</v>
      </c>
      <c r="H27" s="245">
        <v>520</v>
      </c>
      <c r="I27" s="245">
        <v>512</v>
      </c>
      <c r="J27" s="245">
        <v>493</v>
      </c>
      <c r="K27" s="245">
        <v>456</v>
      </c>
      <c r="L27" s="245">
        <v>389</v>
      </c>
      <c r="M27" s="245">
        <v>313</v>
      </c>
      <c r="N27" s="250">
        <v>270</v>
      </c>
      <c r="P27" s="239"/>
      <c r="Q27" s="247">
        <v>30</v>
      </c>
      <c r="R27" s="245">
        <v>298</v>
      </c>
      <c r="S27" s="245">
        <v>373</v>
      </c>
      <c r="T27" s="245">
        <v>453</v>
      </c>
      <c r="U27" s="245">
        <v>491</v>
      </c>
      <c r="V27" s="245">
        <v>514</v>
      </c>
      <c r="W27" s="245">
        <v>520</v>
      </c>
      <c r="X27" s="245">
        <v>512</v>
      </c>
      <c r="Y27" s="245">
        <v>493</v>
      </c>
      <c r="Z27" s="245">
        <v>456</v>
      </c>
      <c r="AA27" s="245">
        <v>389</v>
      </c>
      <c r="AB27" s="245">
        <v>313</v>
      </c>
      <c r="AC27" s="250">
        <v>270</v>
      </c>
    </row>
    <row r="28" spans="1:29" ht="15.75" thickBot="1" x14ac:dyDescent="0.3">
      <c r="A28" s="239"/>
      <c r="B28" s="247">
        <v>45</v>
      </c>
      <c r="C28" s="245">
        <v>336</v>
      </c>
      <c r="D28" s="245">
        <v>403</v>
      </c>
      <c r="E28" s="245">
        <v>460</v>
      </c>
      <c r="F28" s="245">
        <v>473</v>
      </c>
      <c r="G28" s="245">
        <v>480</v>
      </c>
      <c r="H28" s="245">
        <v>481</v>
      </c>
      <c r="I28" s="245">
        <v>475</v>
      </c>
      <c r="J28" s="245">
        <v>468</v>
      </c>
      <c r="K28" s="245">
        <v>453</v>
      </c>
      <c r="L28" s="245">
        <v>410</v>
      </c>
      <c r="M28" s="245">
        <v>346</v>
      </c>
      <c r="N28" s="250">
        <v>308</v>
      </c>
      <c r="P28" s="239"/>
      <c r="Q28" s="247">
        <v>45</v>
      </c>
      <c r="R28" s="245">
        <v>336</v>
      </c>
      <c r="S28" s="245">
        <v>403</v>
      </c>
      <c r="T28" s="245">
        <v>460</v>
      </c>
      <c r="U28" s="245">
        <v>473</v>
      </c>
      <c r="V28" s="245">
        <v>480</v>
      </c>
      <c r="W28" s="245">
        <v>481</v>
      </c>
      <c r="X28" s="245">
        <v>475</v>
      </c>
      <c r="Y28" s="245">
        <v>468</v>
      </c>
      <c r="Z28" s="245">
        <v>453</v>
      </c>
      <c r="AA28" s="245">
        <v>410</v>
      </c>
      <c r="AB28" s="245">
        <v>346</v>
      </c>
      <c r="AC28" s="250">
        <v>308</v>
      </c>
    </row>
    <row r="29" spans="1:29" ht="15.75" thickBot="1" x14ac:dyDescent="0.3">
      <c r="A29" s="239"/>
      <c r="B29" s="247">
        <v>60</v>
      </c>
      <c r="C29" s="245">
        <v>353</v>
      </c>
      <c r="D29" s="245">
        <v>409</v>
      </c>
      <c r="E29" s="245">
        <v>442</v>
      </c>
      <c r="F29" s="245">
        <v>430</v>
      </c>
      <c r="G29" s="245">
        <v>420</v>
      </c>
      <c r="H29" s="245">
        <v>416</v>
      </c>
      <c r="I29" s="245">
        <v>413</v>
      </c>
      <c r="J29" s="245">
        <v>419</v>
      </c>
      <c r="K29" s="245">
        <v>425</v>
      </c>
      <c r="L29" s="245">
        <v>407</v>
      </c>
      <c r="M29" s="245">
        <v>360</v>
      </c>
      <c r="N29" s="250">
        <v>328</v>
      </c>
      <c r="P29" s="239"/>
      <c r="Q29" s="247">
        <v>60</v>
      </c>
      <c r="R29" s="245">
        <v>353</v>
      </c>
      <c r="S29" s="245">
        <v>409</v>
      </c>
      <c r="T29" s="245">
        <v>442</v>
      </c>
      <c r="U29" s="245">
        <v>430</v>
      </c>
      <c r="V29" s="245">
        <v>420</v>
      </c>
      <c r="W29" s="245">
        <v>416</v>
      </c>
      <c r="X29" s="245">
        <v>413</v>
      </c>
      <c r="Y29" s="245">
        <v>419</v>
      </c>
      <c r="Z29" s="245">
        <v>425</v>
      </c>
      <c r="AA29" s="245">
        <v>407</v>
      </c>
      <c r="AB29" s="245">
        <v>360</v>
      </c>
      <c r="AC29" s="250">
        <v>328</v>
      </c>
    </row>
    <row r="30" spans="1:29" ht="15.75" thickBot="1" x14ac:dyDescent="0.3">
      <c r="A30" s="239"/>
      <c r="B30" s="247">
        <v>75</v>
      </c>
      <c r="C30" s="245">
        <v>350</v>
      </c>
      <c r="D30" s="245">
        <v>392</v>
      </c>
      <c r="E30" s="245">
        <v>398</v>
      </c>
      <c r="F30" s="245">
        <v>363</v>
      </c>
      <c r="G30" s="245">
        <v>339</v>
      </c>
      <c r="H30" s="245">
        <v>330</v>
      </c>
      <c r="I30" s="245">
        <v>331</v>
      </c>
      <c r="J30" s="245">
        <v>347</v>
      </c>
      <c r="K30" s="245">
        <v>374</v>
      </c>
      <c r="L30" s="245">
        <v>381</v>
      </c>
      <c r="M30" s="245">
        <v>353</v>
      </c>
      <c r="N30" s="250">
        <v>329</v>
      </c>
      <c r="P30" s="239"/>
      <c r="Q30" s="247">
        <v>75</v>
      </c>
      <c r="R30" s="245">
        <v>350</v>
      </c>
      <c r="S30" s="245">
        <v>392</v>
      </c>
      <c r="T30" s="245">
        <v>398</v>
      </c>
      <c r="U30" s="245">
        <v>363</v>
      </c>
      <c r="V30" s="245">
        <v>339</v>
      </c>
      <c r="W30" s="245">
        <v>330</v>
      </c>
      <c r="X30" s="245">
        <v>331</v>
      </c>
      <c r="Y30" s="245">
        <v>347</v>
      </c>
      <c r="Z30" s="245">
        <v>374</v>
      </c>
      <c r="AA30" s="245">
        <v>381</v>
      </c>
      <c r="AB30" s="245">
        <v>353</v>
      </c>
      <c r="AC30" s="250">
        <v>329</v>
      </c>
    </row>
    <row r="31" spans="1:29" ht="15.75" thickBot="1" x14ac:dyDescent="0.3">
      <c r="A31" s="239"/>
      <c r="B31" s="246">
        <v>90</v>
      </c>
      <c r="C31" s="249">
        <v>327</v>
      </c>
      <c r="D31" s="249">
        <v>352</v>
      </c>
      <c r="E31" s="249">
        <v>333</v>
      </c>
      <c r="F31" s="249">
        <v>279</v>
      </c>
      <c r="G31" s="249">
        <v>242</v>
      </c>
      <c r="H31" s="249">
        <v>229</v>
      </c>
      <c r="I31" s="249">
        <v>233</v>
      </c>
      <c r="J31" s="249">
        <v>259</v>
      </c>
      <c r="K31" s="249">
        <v>303</v>
      </c>
      <c r="L31" s="249">
        <v>334</v>
      </c>
      <c r="M31" s="249">
        <v>325</v>
      </c>
      <c r="N31" s="248">
        <v>310</v>
      </c>
      <c r="P31" s="239"/>
      <c r="Q31" s="246">
        <v>90</v>
      </c>
      <c r="R31" s="249">
        <v>327</v>
      </c>
      <c r="S31" s="249">
        <v>352</v>
      </c>
      <c r="T31" s="249">
        <v>333</v>
      </c>
      <c r="U31" s="249">
        <v>279</v>
      </c>
      <c r="V31" s="249">
        <v>242</v>
      </c>
      <c r="W31" s="249">
        <v>229</v>
      </c>
      <c r="X31" s="249">
        <v>233</v>
      </c>
      <c r="Y31" s="249">
        <v>259</v>
      </c>
      <c r="Z31" s="249">
        <v>303</v>
      </c>
      <c r="AA31" s="249">
        <v>334</v>
      </c>
      <c r="AB31" s="249">
        <v>325</v>
      </c>
      <c r="AC31" s="248">
        <v>310</v>
      </c>
    </row>
    <row r="32" spans="1:29" ht="16.5" thickTop="1" thickBot="1" x14ac:dyDescent="0.3">
      <c r="A32" s="239"/>
      <c r="B32" s="357" t="s">
        <v>156</v>
      </c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9"/>
      <c r="P32" s="239"/>
      <c r="Q32" s="357" t="s">
        <v>156</v>
      </c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9"/>
    </row>
    <row r="33" spans="1:29" ht="15.75" thickBot="1" x14ac:dyDescent="0.3">
      <c r="A33" s="239">
        <v>60</v>
      </c>
      <c r="B33" s="247">
        <v>15</v>
      </c>
      <c r="C33" s="245">
        <v>223.41511792574167</v>
      </c>
      <c r="D33" s="245">
        <v>302.49181722774097</v>
      </c>
      <c r="E33" s="245">
        <v>405.09346140627071</v>
      </c>
      <c r="F33" s="245">
        <v>470.0251279968582</v>
      </c>
      <c r="G33" s="245">
        <v>507.81914347766968</v>
      </c>
      <c r="H33" s="245">
        <v>516.77630997354788</v>
      </c>
      <c r="I33" s="245">
        <v>507.43037194478916</v>
      </c>
      <c r="J33" s="245">
        <v>479.53541398961107</v>
      </c>
      <c r="K33" s="245">
        <v>420.39361411535475</v>
      </c>
      <c r="L33" s="245">
        <v>329.79394549715602</v>
      </c>
      <c r="M33" s="245">
        <v>242.29779042989944</v>
      </c>
      <c r="N33" s="245">
        <v>196.41359197071247</v>
      </c>
      <c r="P33" s="239">
        <v>60</v>
      </c>
      <c r="Q33" s="247">
        <v>15</v>
      </c>
      <c r="R33" s="245">
        <v>223.41511792574167</v>
      </c>
      <c r="S33" s="245">
        <v>302.49181722774097</v>
      </c>
      <c r="T33" s="245">
        <v>405.09346140627071</v>
      </c>
      <c r="U33" s="245">
        <v>470.0251279968582</v>
      </c>
      <c r="V33" s="245">
        <v>507.81914347766968</v>
      </c>
      <c r="W33" s="245">
        <v>516.77630997354788</v>
      </c>
      <c r="X33" s="245">
        <v>507.43037194478916</v>
      </c>
      <c r="Y33" s="245">
        <v>479.53541398961107</v>
      </c>
      <c r="Z33" s="245">
        <v>420.39361411535475</v>
      </c>
      <c r="AA33" s="245">
        <v>329.79394549715602</v>
      </c>
      <c r="AB33" s="245">
        <v>242.29779042989944</v>
      </c>
      <c r="AC33" s="245">
        <v>196.41359197071247</v>
      </c>
    </row>
    <row r="34" spans="1:29" ht="15.75" thickBot="1" x14ac:dyDescent="0.3">
      <c r="A34" s="239"/>
      <c r="B34" s="247">
        <v>30</v>
      </c>
      <c r="C34" s="245">
        <v>260.07662139504816</v>
      </c>
      <c r="D34" s="245">
        <v>336.6344090176508</v>
      </c>
      <c r="E34" s="245">
        <v>426.33474681198896</v>
      </c>
      <c r="F34" s="245">
        <v>473.47548294045231</v>
      </c>
      <c r="G34" s="245">
        <v>496.7384610478</v>
      </c>
      <c r="H34" s="245">
        <v>499.27282865383427</v>
      </c>
      <c r="I34" s="245">
        <v>493.04700211276594</v>
      </c>
      <c r="J34" s="245">
        <v>476.70427918343341</v>
      </c>
      <c r="K34" s="245">
        <v>433.5316680867229</v>
      </c>
      <c r="L34" s="245">
        <v>357.42946135224349</v>
      </c>
      <c r="M34" s="245">
        <v>276.60021323375793</v>
      </c>
      <c r="N34" s="245">
        <v>232.42479310035415</v>
      </c>
      <c r="P34" s="239"/>
      <c r="Q34" s="247">
        <v>30</v>
      </c>
      <c r="R34" s="245">
        <v>260.07662139504816</v>
      </c>
      <c r="S34" s="245">
        <v>336.6344090176508</v>
      </c>
      <c r="T34" s="245">
        <v>426.33474681198896</v>
      </c>
      <c r="U34" s="245">
        <v>473.47548294045231</v>
      </c>
      <c r="V34" s="245">
        <v>496.7384610478</v>
      </c>
      <c r="W34" s="245">
        <v>499.27282865383427</v>
      </c>
      <c r="X34" s="245">
        <v>493.04700211276594</v>
      </c>
      <c r="Y34" s="245">
        <v>476.70427918343341</v>
      </c>
      <c r="Z34" s="245">
        <v>433.5316680867229</v>
      </c>
      <c r="AA34" s="245">
        <v>357.42946135224349</v>
      </c>
      <c r="AB34" s="245">
        <v>276.60021323375793</v>
      </c>
      <c r="AC34" s="245">
        <v>232.42479310035415</v>
      </c>
    </row>
    <row r="35" spans="1:29" ht="15.75" thickBot="1" x14ac:dyDescent="0.3">
      <c r="A35" s="239"/>
      <c r="B35" s="247">
        <v>45</v>
      </c>
      <c r="C35" s="245">
        <v>283.26066653219772</v>
      </c>
      <c r="D35" s="245">
        <v>354.52480435764647</v>
      </c>
      <c r="E35" s="245">
        <v>429.41417919616822</v>
      </c>
      <c r="F35" s="245">
        <v>459.13314031297682</v>
      </c>
      <c r="G35" s="245">
        <v>468.89574899218889</v>
      </c>
      <c r="H35" s="245">
        <v>465.75849730957577</v>
      </c>
      <c r="I35" s="245">
        <v>462.39473272181306</v>
      </c>
      <c r="J35" s="245">
        <v>456.66724184348249</v>
      </c>
      <c r="K35" s="245">
        <v>429.07165453586367</v>
      </c>
      <c r="L35" s="245">
        <v>368.65594253294597</v>
      </c>
      <c r="M35" s="245">
        <v>296.96680150114878</v>
      </c>
      <c r="N35" s="245">
        <v>256.16247347436541</v>
      </c>
      <c r="P35" s="239"/>
      <c r="Q35" s="247">
        <v>45</v>
      </c>
      <c r="R35" s="245">
        <v>283.26066653219772</v>
      </c>
      <c r="S35" s="245">
        <v>354.52480435764647</v>
      </c>
      <c r="T35" s="245">
        <v>429.41417919616822</v>
      </c>
      <c r="U35" s="245">
        <v>459.13314031297682</v>
      </c>
      <c r="V35" s="245">
        <v>468.89574899218889</v>
      </c>
      <c r="W35" s="245">
        <v>465.75849730957577</v>
      </c>
      <c r="X35" s="245">
        <v>462.39473272181306</v>
      </c>
      <c r="Y35" s="245">
        <v>456.66724184348249</v>
      </c>
      <c r="Z35" s="245">
        <v>429.07165453586367</v>
      </c>
      <c r="AA35" s="245">
        <v>368.65594253294597</v>
      </c>
      <c r="AB35" s="245">
        <v>296.96680150114878</v>
      </c>
      <c r="AC35" s="245">
        <v>256.16247347436541</v>
      </c>
    </row>
    <row r="36" spans="1:29" ht="15.75" thickBot="1" x14ac:dyDescent="0.3">
      <c r="A36" s="239"/>
      <c r="B36" s="247">
        <v>60</v>
      </c>
      <c r="C36" s="245">
        <v>291.20949326353661</v>
      </c>
      <c r="D36" s="245">
        <v>354.58222361432018</v>
      </c>
      <c r="E36" s="245">
        <v>413.54050808370152</v>
      </c>
      <c r="F36" s="245">
        <v>427.42144891860266</v>
      </c>
      <c r="G36" s="245">
        <v>425.7042581878066</v>
      </c>
      <c r="H36" s="245">
        <v>418.09131345757663</v>
      </c>
      <c r="I36" s="245">
        <v>417.17852998717109</v>
      </c>
      <c r="J36" s="245">
        <v>420.35574267557871</v>
      </c>
      <c r="K36" s="245">
        <v>406.84910301103594</v>
      </c>
      <c r="L36" s="245">
        <v>362.33869511737339</v>
      </c>
      <c r="M36" s="245">
        <v>301.79420610443105</v>
      </c>
      <c r="N36" s="245">
        <v>265.89092576786447</v>
      </c>
      <c r="P36" s="239"/>
      <c r="Q36" s="247">
        <v>60</v>
      </c>
      <c r="R36" s="245">
        <v>291.20949326353661</v>
      </c>
      <c r="S36" s="245">
        <v>354.58222361432018</v>
      </c>
      <c r="T36" s="245">
        <v>413.54050808370152</v>
      </c>
      <c r="U36" s="245">
        <v>427.42144891860266</v>
      </c>
      <c r="V36" s="245">
        <v>425.7042581878066</v>
      </c>
      <c r="W36" s="245">
        <v>418.09131345757663</v>
      </c>
      <c r="X36" s="245">
        <v>417.17852998717109</v>
      </c>
      <c r="Y36" s="245">
        <v>420.35574267557871</v>
      </c>
      <c r="Z36" s="245">
        <v>406.84910301103594</v>
      </c>
      <c r="AA36" s="245">
        <v>362.33869511737339</v>
      </c>
      <c r="AB36" s="245">
        <v>301.79420610443105</v>
      </c>
      <c r="AC36" s="245">
        <v>265.89092576786447</v>
      </c>
    </row>
    <row r="37" spans="1:29" ht="15.75" thickBot="1" x14ac:dyDescent="0.3">
      <c r="A37" s="239"/>
      <c r="B37" s="247">
        <v>75</v>
      </c>
      <c r="C37" s="245">
        <v>283.33079686209123</v>
      </c>
      <c r="D37" s="245">
        <v>336.66252829333183</v>
      </c>
      <c r="E37" s="245">
        <v>379.55035151974289</v>
      </c>
      <c r="F37" s="245">
        <v>380.23558624381531</v>
      </c>
      <c r="G37" s="245">
        <v>369.81831954168348</v>
      </c>
      <c r="H37" s="245">
        <v>359.25224358403415</v>
      </c>
      <c r="I37" s="245">
        <v>360.24175291451934</v>
      </c>
      <c r="J37" s="245">
        <v>370.00749025858835</v>
      </c>
      <c r="K37" s="245">
        <v>368.16930680588507</v>
      </c>
      <c r="L37" s="245">
        <v>338.77206061849927</v>
      </c>
      <c r="M37" s="245">
        <v>290.69765710525797</v>
      </c>
      <c r="N37" s="245">
        <v>260.90004250234529</v>
      </c>
      <c r="P37" s="239"/>
      <c r="Q37" s="247">
        <v>75</v>
      </c>
      <c r="R37" s="245">
        <v>283.33079686209123</v>
      </c>
      <c r="S37" s="245">
        <v>336.66252829333183</v>
      </c>
      <c r="T37" s="245">
        <v>379.55035151974289</v>
      </c>
      <c r="U37" s="245">
        <v>380.23558624381531</v>
      </c>
      <c r="V37" s="245">
        <v>369.81831954168348</v>
      </c>
      <c r="W37" s="245">
        <v>359.25224358403415</v>
      </c>
      <c r="X37" s="245">
        <v>360.24175291451934</v>
      </c>
      <c r="Y37" s="245">
        <v>370.00749025858835</v>
      </c>
      <c r="Z37" s="245">
        <v>368.16930680588507</v>
      </c>
      <c r="AA37" s="245">
        <v>338.77206061849927</v>
      </c>
      <c r="AB37" s="245">
        <v>290.69765710525797</v>
      </c>
      <c r="AC37" s="245">
        <v>260.90004250234529</v>
      </c>
    </row>
    <row r="38" spans="1:29" ht="15.75" thickBot="1" x14ac:dyDescent="0.3">
      <c r="A38" s="239"/>
      <c r="B38" s="246">
        <v>90</v>
      </c>
      <c r="C38" s="245">
        <v>260.21508243679506</v>
      </c>
      <c r="D38" s="245">
        <v>302.1520884498774</v>
      </c>
      <c r="E38" s="245">
        <v>330.0562362779155</v>
      </c>
      <c r="F38" s="245">
        <v>321.22358851886605</v>
      </c>
      <c r="G38" s="245">
        <v>305.57070555345291</v>
      </c>
      <c r="H38" s="245">
        <v>293.81951839812501</v>
      </c>
      <c r="I38" s="245">
        <v>296.01833022575175</v>
      </c>
      <c r="J38" s="245">
        <v>309.53820312380105</v>
      </c>
      <c r="K38" s="245">
        <v>316.02723104622686</v>
      </c>
      <c r="L38" s="245">
        <v>299.76461974721707</v>
      </c>
      <c r="M38" s="245">
        <v>264.52229934050041</v>
      </c>
      <c r="N38" s="245">
        <v>241.57917688974044</v>
      </c>
      <c r="P38" s="239"/>
      <c r="Q38" s="246">
        <v>90</v>
      </c>
      <c r="R38" s="245">
        <v>260.21508243679506</v>
      </c>
      <c r="S38" s="245">
        <v>302.1520884498774</v>
      </c>
      <c r="T38" s="245">
        <v>330.0562362779155</v>
      </c>
      <c r="U38" s="245">
        <v>321.22358851886605</v>
      </c>
      <c r="V38" s="245">
        <v>305.57070555345291</v>
      </c>
      <c r="W38" s="245">
        <v>293.81951839812501</v>
      </c>
      <c r="X38" s="245">
        <v>296.01833022575175</v>
      </c>
      <c r="Y38" s="245">
        <v>309.53820312380105</v>
      </c>
      <c r="Z38" s="245">
        <v>316.02723104622686</v>
      </c>
      <c r="AA38" s="245">
        <v>299.76461974721707</v>
      </c>
      <c r="AB38" s="245">
        <v>264.52229934050041</v>
      </c>
      <c r="AC38" s="245">
        <v>241.57917688974044</v>
      </c>
    </row>
    <row r="39" spans="1:29" ht="16.5" thickTop="1" thickBot="1" x14ac:dyDescent="0.3">
      <c r="A39" s="239"/>
      <c r="B39" s="357" t="s">
        <v>155</v>
      </c>
      <c r="C39" s="358"/>
      <c r="D39" s="358"/>
      <c r="E39" s="358"/>
      <c r="F39" s="358"/>
      <c r="G39" s="358"/>
      <c r="H39" s="358"/>
      <c r="I39" s="358"/>
      <c r="J39" s="358"/>
      <c r="K39" s="358"/>
      <c r="L39" s="358"/>
      <c r="M39" s="358"/>
      <c r="N39" s="359"/>
      <c r="P39" s="239"/>
      <c r="Q39" s="357" t="s">
        <v>155</v>
      </c>
      <c r="R39" s="358"/>
      <c r="S39" s="358"/>
      <c r="T39" s="358"/>
      <c r="U39" s="358"/>
      <c r="V39" s="358"/>
      <c r="W39" s="358"/>
      <c r="X39" s="358"/>
      <c r="Y39" s="358"/>
      <c r="Z39" s="358"/>
      <c r="AA39" s="358"/>
      <c r="AB39" s="358"/>
      <c r="AC39" s="359"/>
    </row>
    <row r="40" spans="1:29" ht="15.75" thickBot="1" x14ac:dyDescent="0.3">
      <c r="A40" s="239">
        <v>75</v>
      </c>
      <c r="B40" s="247">
        <v>15</v>
      </c>
      <c r="C40" s="245">
        <v>199.8224653926043</v>
      </c>
      <c r="D40" s="245">
        <v>277.88051815450007</v>
      </c>
      <c r="E40" s="245">
        <v>383.64298664307137</v>
      </c>
      <c r="F40" s="245">
        <v>454.8821731473916</v>
      </c>
      <c r="G40" s="245">
        <v>498.35452137807471</v>
      </c>
      <c r="H40" s="245">
        <v>510.0204256375572</v>
      </c>
      <c r="I40" s="245">
        <v>499.41298571132768</v>
      </c>
      <c r="J40" s="245">
        <v>466.91173961886602</v>
      </c>
      <c r="K40" s="245">
        <v>402.04340984334146</v>
      </c>
      <c r="L40" s="245">
        <v>307.30270804110927</v>
      </c>
      <c r="M40" s="245">
        <v>219.21656264725695</v>
      </c>
      <c r="N40" s="245">
        <v>173.88940010746805</v>
      </c>
      <c r="P40" s="239">
        <v>75</v>
      </c>
      <c r="Q40" s="247">
        <v>15</v>
      </c>
      <c r="R40" s="245">
        <v>199.8224653926043</v>
      </c>
      <c r="S40" s="245">
        <v>277.88051815450007</v>
      </c>
      <c r="T40" s="245">
        <v>383.64298664307137</v>
      </c>
      <c r="U40" s="245">
        <v>454.8821731473916</v>
      </c>
      <c r="V40" s="245">
        <v>498.35452137807471</v>
      </c>
      <c r="W40" s="245">
        <v>510.0204256375572</v>
      </c>
      <c r="X40" s="245">
        <v>499.41298571132768</v>
      </c>
      <c r="Y40" s="245">
        <v>466.91173961886602</v>
      </c>
      <c r="Z40" s="245">
        <v>402.04340984334146</v>
      </c>
      <c r="AA40" s="245">
        <v>307.30270804110927</v>
      </c>
      <c r="AB40" s="245">
        <v>219.21656264725695</v>
      </c>
      <c r="AC40" s="245">
        <v>173.88940010746805</v>
      </c>
    </row>
    <row r="41" spans="1:29" ht="15.75" thickBot="1" x14ac:dyDescent="0.3">
      <c r="A41" s="239"/>
      <c r="B41" s="247">
        <v>30</v>
      </c>
      <c r="C41" s="245">
        <v>217.26354708851974</v>
      </c>
      <c r="D41" s="245">
        <v>292.55106604101223</v>
      </c>
      <c r="E41" s="245">
        <v>388.4041534853057</v>
      </c>
      <c r="F41" s="245">
        <v>446.84209450997253</v>
      </c>
      <c r="G41" s="245">
        <v>480.1296333502234</v>
      </c>
      <c r="H41" s="245">
        <v>487.39243925403571</v>
      </c>
      <c r="I41" s="245">
        <v>478.93706585377441</v>
      </c>
      <c r="J41" s="245">
        <v>454.47806564173987</v>
      </c>
      <c r="K41" s="245">
        <v>401.06424096892897</v>
      </c>
      <c r="L41" s="245">
        <v>317.24463369746627</v>
      </c>
      <c r="M41" s="245">
        <v>234.84430332717494</v>
      </c>
      <c r="N41" s="245">
        <v>191.33176413126179</v>
      </c>
      <c r="P41" s="239"/>
      <c r="Q41" s="247">
        <v>30</v>
      </c>
      <c r="R41" s="245">
        <v>217.26354708851974</v>
      </c>
      <c r="S41" s="245">
        <v>292.55106604101223</v>
      </c>
      <c r="T41" s="245">
        <v>388.4041534853057</v>
      </c>
      <c r="U41" s="245">
        <v>446.84209450997253</v>
      </c>
      <c r="V41" s="245">
        <v>480.1296333502234</v>
      </c>
      <c r="W41" s="245">
        <v>487.39243925403571</v>
      </c>
      <c r="X41" s="245">
        <v>478.93706585377441</v>
      </c>
      <c r="Y41" s="245">
        <v>454.47806564173987</v>
      </c>
      <c r="Z41" s="245">
        <v>401.06424096892897</v>
      </c>
      <c r="AA41" s="245">
        <v>317.24463369746627</v>
      </c>
      <c r="AB41" s="245">
        <v>234.84430332717494</v>
      </c>
      <c r="AC41" s="245">
        <v>191.33176413126179</v>
      </c>
    </row>
    <row r="42" spans="1:29" ht="15.75" thickBot="1" x14ac:dyDescent="0.3">
      <c r="A42" s="239"/>
      <c r="B42" s="247">
        <v>45</v>
      </c>
      <c r="C42" s="245">
        <v>226.35910136596539</v>
      </c>
      <c r="D42" s="245">
        <v>297.07207906397593</v>
      </c>
      <c r="E42" s="245">
        <v>381.32827510628942</v>
      </c>
      <c r="F42" s="245">
        <v>426.36915370184619</v>
      </c>
      <c r="G42" s="245">
        <v>449.36687304545683</v>
      </c>
      <c r="H42" s="245">
        <v>452.34125448306628</v>
      </c>
      <c r="I42" s="245">
        <v>446.03201744609328</v>
      </c>
      <c r="J42" s="245">
        <v>429.64387083054214</v>
      </c>
      <c r="K42" s="245">
        <v>388.24098963942805</v>
      </c>
      <c r="L42" s="245">
        <v>316.72141362606567</v>
      </c>
      <c r="M42" s="245">
        <v>241.78483034021107</v>
      </c>
      <c r="N42" s="245">
        <v>201.1607532097091</v>
      </c>
      <c r="P42" s="239"/>
      <c r="Q42" s="247">
        <v>45</v>
      </c>
      <c r="R42" s="245">
        <v>226.35910136596539</v>
      </c>
      <c r="S42" s="245">
        <v>297.07207906397593</v>
      </c>
      <c r="T42" s="245">
        <v>381.32827510628942</v>
      </c>
      <c r="U42" s="245">
        <v>426.36915370184619</v>
      </c>
      <c r="V42" s="245">
        <v>449.36687304545683</v>
      </c>
      <c r="W42" s="245">
        <v>452.34125448306628</v>
      </c>
      <c r="X42" s="245">
        <v>446.03201744609328</v>
      </c>
      <c r="Y42" s="245">
        <v>429.64387083054214</v>
      </c>
      <c r="Z42" s="245">
        <v>388.24098963942805</v>
      </c>
      <c r="AA42" s="245">
        <v>316.72141362606567</v>
      </c>
      <c r="AB42" s="245">
        <v>241.78483034021107</v>
      </c>
      <c r="AC42" s="245">
        <v>201.1607532097091</v>
      </c>
    </row>
    <row r="43" spans="1:29" ht="15.75" thickBot="1" x14ac:dyDescent="0.3">
      <c r="A43" s="239"/>
      <c r="B43" s="247">
        <v>60</v>
      </c>
      <c r="C43" s="245">
        <v>225.63948608618298</v>
      </c>
      <c r="D43" s="245">
        <v>289.90770370589036</v>
      </c>
      <c r="E43" s="245">
        <v>361.44905106319857</v>
      </c>
      <c r="F43" s="245">
        <v>393.74087287519393</v>
      </c>
      <c r="G43" s="245">
        <v>407.43591527139142</v>
      </c>
      <c r="H43" s="245">
        <v>406.79278374877623</v>
      </c>
      <c r="I43" s="245">
        <v>402.43241227044359</v>
      </c>
      <c r="J43" s="245">
        <v>393.2574430972245</v>
      </c>
      <c r="K43" s="245">
        <v>363.27601495148764</v>
      </c>
      <c r="L43" s="245">
        <v>304.58502006526066</v>
      </c>
      <c r="M43" s="245">
        <v>238.65716800289468</v>
      </c>
      <c r="N43" s="245">
        <v>202.00270468066873</v>
      </c>
      <c r="P43" s="239"/>
      <c r="Q43" s="247">
        <v>60</v>
      </c>
      <c r="R43" s="245">
        <v>225.63948608618298</v>
      </c>
      <c r="S43" s="245">
        <v>289.90770370589036</v>
      </c>
      <c r="T43" s="245">
        <v>361.44905106319857</v>
      </c>
      <c r="U43" s="245">
        <v>393.74087287519393</v>
      </c>
      <c r="V43" s="245">
        <v>407.43591527139142</v>
      </c>
      <c r="W43" s="245">
        <v>406.79278374877623</v>
      </c>
      <c r="X43" s="245">
        <v>402.43241227044359</v>
      </c>
      <c r="Y43" s="245">
        <v>393.2574430972245</v>
      </c>
      <c r="Z43" s="245">
        <v>363.27601495148764</v>
      </c>
      <c r="AA43" s="245">
        <v>304.58502006526066</v>
      </c>
      <c r="AB43" s="245">
        <v>238.65716800289468</v>
      </c>
      <c r="AC43" s="245">
        <v>202.00270468066873</v>
      </c>
    </row>
    <row r="44" spans="1:29" ht="15.75" thickBot="1" x14ac:dyDescent="0.3">
      <c r="A44" s="239"/>
      <c r="B44" s="247">
        <v>75</v>
      </c>
      <c r="C44" s="245">
        <v>214.71432832058122</v>
      </c>
      <c r="D44" s="245">
        <v>270.8291257398821</v>
      </c>
      <c r="E44" s="245">
        <v>329.08522498818621</v>
      </c>
      <c r="F44" s="245">
        <v>350.09301315501278</v>
      </c>
      <c r="G44" s="245">
        <v>356.13878887564192</v>
      </c>
      <c r="H44" s="245">
        <v>352.81525909806993</v>
      </c>
      <c r="I44" s="245">
        <v>350.12231545653378</v>
      </c>
      <c r="J44" s="245">
        <v>346.78950858396962</v>
      </c>
      <c r="K44" s="245">
        <v>326.89324270149126</v>
      </c>
      <c r="L44" s="245">
        <v>280.89660854338501</v>
      </c>
      <c r="M44" s="245">
        <v>225.18774032107922</v>
      </c>
      <c r="N44" s="245">
        <v>193.44944437200482</v>
      </c>
      <c r="P44" s="239"/>
      <c r="Q44" s="247">
        <v>75</v>
      </c>
      <c r="R44" s="245">
        <v>214.71432832058122</v>
      </c>
      <c r="S44" s="245">
        <v>270.8291257398821</v>
      </c>
      <c r="T44" s="245">
        <v>329.08522498818621</v>
      </c>
      <c r="U44" s="245">
        <v>350.09301315501278</v>
      </c>
      <c r="V44" s="245">
        <v>356.13878887564192</v>
      </c>
      <c r="W44" s="245">
        <v>352.81525909806993</v>
      </c>
      <c r="X44" s="245">
        <v>350.12231545653378</v>
      </c>
      <c r="Y44" s="245">
        <v>346.78950858396962</v>
      </c>
      <c r="Z44" s="245">
        <v>326.89324270149126</v>
      </c>
      <c r="AA44" s="245">
        <v>280.89660854338501</v>
      </c>
      <c r="AB44" s="245">
        <v>225.18774032107922</v>
      </c>
      <c r="AC44" s="245">
        <v>193.44944437200482</v>
      </c>
    </row>
    <row r="45" spans="1:29" ht="15.75" thickBot="1" x14ac:dyDescent="0.3">
      <c r="A45" s="239"/>
      <c r="B45" s="246">
        <v>90</v>
      </c>
      <c r="C45" s="245">
        <v>194.18774552223971</v>
      </c>
      <c r="D45" s="245">
        <v>240.91487867478205</v>
      </c>
      <c r="E45" s="245">
        <v>286.14783814176059</v>
      </c>
      <c r="F45" s="245">
        <v>298.05309878090605</v>
      </c>
      <c r="G45" s="245">
        <v>298.59487234912712</v>
      </c>
      <c r="H45" s="245">
        <v>293.73115649689919</v>
      </c>
      <c r="I45" s="245">
        <v>292.32047898989993</v>
      </c>
      <c r="J45" s="245">
        <v>293.07125326085043</v>
      </c>
      <c r="K45" s="245">
        <v>281.2949328864288</v>
      </c>
      <c r="L45" s="245">
        <v>247.04580671420828</v>
      </c>
      <c r="M45" s="245">
        <v>202.13525968069638</v>
      </c>
      <c r="N45" s="245">
        <v>175.98880167944282</v>
      </c>
      <c r="P45" s="239"/>
      <c r="Q45" s="246">
        <v>90</v>
      </c>
      <c r="R45" s="245">
        <v>194.18774552223971</v>
      </c>
      <c r="S45" s="245">
        <v>240.91487867478205</v>
      </c>
      <c r="T45" s="245">
        <v>286.14783814176059</v>
      </c>
      <c r="U45" s="245">
        <v>298.05309878090605</v>
      </c>
      <c r="V45" s="245">
        <v>298.59487234912712</v>
      </c>
      <c r="W45" s="245">
        <v>293.73115649689919</v>
      </c>
      <c r="X45" s="245">
        <v>292.32047898989993</v>
      </c>
      <c r="Y45" s="245">
        <v>293.07125326085043</v>
      </c>
      <c r="Z45" s="245">
        <v>281.2949328864288</v>
      </c>
      <c r="AA45" s="245">
        <v>247.04580671420828</v>
      </c>
      <c r="AB45" s="245">
        <v>202.13525968069638</v>
      </c>
      <c r="AC45" s="245">
        <v>175.98880167944282</v>
      </c>
    </row>
    <row r="46" spans="1:29" ht="16.5" thickTop="1" thickBot="1" x14ac:dyDescent="0.3">
      <c r="A46" s="239"/>
      <c r="B46" s="357" t="s">
        <v>154</v>
      </c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9"/>
      <c r="P46" s="239"/>
      <c r="Q46" s="357" t="s">
        <v>154</v>
      </c>
      <c r="R46" s="358"/>
      <c r="S46" s="358"/>
      <c r="T46" s="358"/>
      <c r="U46" s="358"/>
      <c r="V46" s="358"/>
      <c r="W46" s="358"/>
      <c r="X46" s="358"/>
      <c r="Y46" s="358"/>
      <c r="Z46" s="358"/>
      <c r="AA46" s="358"/>
      <c r="AB46" s="358"/>
      <c r="AC46" s="359"/>
    </row>
    <row r="47" spans="1:29" ht="15.75" thickBot="1" x14ac:dyDescent="0.3">
      <c r="A47" s="239">
        <v>90</v>
      </c>
      <c r="B47" s="247">
        <v>15</v>
      </c>
      <c r="C47" s="245">
        <v>174.98425751752845</v>
      </c>
      <c r="D47" s="245">
        <v>251.61018887589597</v>
      </c>
      <c r="E47" s="245">
        <v>360.3854420729657</v>
      </c>
      <c r="F47" s="245">
        <v>438.26217674958866</v>
      </c>
      <c r="G47" s="245">
        <v>487.82125943603512</v>
      </c>
      <c r="H47" s="245">
        <v>502.42967089697822</v>
      </c>
      <c r="I47" s="245">
        <v>490.46874642789584</v>
      </c>
      <c r="J47" s="245">
        <v>453.01421679886863</v>
      </c>
      <c r="K47" s="245">
        <v>382.08538070663934</v>
      </c>
      <c r="L47" s="245">
        <v>283.16614331467127</v>
      </c>
      <c r="M47" s="245">
        <v>194.7970383539049</v>
      </c>
      <c r="N47" s="245">
        <v>150.30657548878759</v>
      </c>
      <c r="P47" s="239">
        <v>90</v>
      </c>
      <c r="Q47" s="247">
        <v>15</v>
      </c>
      <c r="R47" s="245">
        <v>174.98425751752845</v>
      </c>
      <c r="S47" s="245">
        <v>251.61018887589597</v>
      </c>
      <c r="T47" s="245">
        <v>360.3854420729657</v>
      </c>
      <c r="U47" s="245">
        <v>438.26217674958866</v>
      </c>
      <c r="V47" s="245">
        <v>487.82125943603512</v>
      </c>
      <c r="W47" s="245">
        <v>502.42967089697822</v>
      </c>
      <c r="X47" s="245">
        <v>490.46874642789584</v>
      </c>
      <c r="Y47" s="245">
        <v>453.01421679886863</v>
      </c>
      <c r="Z47" s="245">
        <v>382.08538070663934</v>
      </c>
      <c r="AA47" s="245">
        <v>283.16614331467127</v>
      </c>
      <c r="AB47" s="245">
        <v>194.7970383539049</v>
      </c>
      <c r="AC47" s="245">
        <v>150.30657548878759</v>
      </c>
    </row>
    <row r="48" spans="1:29" ht="15.75" thickBot="1" x14ac:dyDescent="0.3">
      <c r="A48" s="239"/>
      <c r="B48" s="247">
        <v>30</v>
      </c>
      <c r="C48" s="245">
        <v>174.05798483159407</v>
      </c>
      <c r="D48" s="245">
        <v>246.64482148020963</v>
      </c>
      <c r="E48" s="245">
        <v>347.22007787374253</v>
      </c>
      <c r="F48" s="245">
        <v>416.6887000767432</v>
      </c>
      <c r="G48" s="245">
        <v>460.24003488148458</v>
      </c>
      <c r="H48" s="245">
        <v>472.50592485743482</v>
      </c>
      <c r="I48" s="245">
        <v>461.77408540927394</v>
      </c>
      <c r="J48" s="245">
        <v>428.92942580629807</v>
      </c>
      <c r="K48" s="245">
        <v>365.38555347429292</v>
      </c>
      <c r="L48" s="245">
        <v>274.81116041388032</v>
      </c>
      <c r="M48" s="245">
        <v>192.26723558830059</v>
      </c>
      <c r="N48" s="245">
        <v>150.33686315195214</v>
      </c>
      <c r="P48" s="239"/>
      <c r="Q48" s="247">
        <v>30</v>
      </c>
      <c r="R48" s="245">
        <v>174.05798483159407</v>
      </c>
      <c r="S48" s="245">
        <v>246.64482148020963</v>
      </c>
      <c r="T48" s="245">
        <v>347.22007787374253</v>
      </c>
      <c r="U48" s="245">
        <v>416.6887000767432</v>
      </c>
      <c r="V48" s="245">
        <v>460.24003488148458</v>
      </c>
      <c r="W48" s="245">
        <v>472.50592485743482</v>
      </c>
      <c r="X48" s="245">
        <v>461.77408540927394</v>
      </c>
      <c r="Y48" s="245">
        <v>428.92942580629807</v>
      </c>
      <c r="Z48" s="245">
        <v>365.38555347429292</v>
      </c>
      <c r="AA48" s="245">
        <v>274.81116041388032</v>
      </c>
      <c r="AB48" s="245">
        <v>192.26723558830059</v>
      </c>
      <c r="AC48" s="245">
        <v>150.33686315195214</v>
      </c>
    </row>
    <row r="49" spans="1:29" ht="15.75" thickBot="1" x14ac:dyDescent="0.3">
      <c r="A49" s="239"/>
      <c r="B49" s="247">
        <v>45</v>
      </c>
      <c r="C49" s="245">
        <v>171.34494654106558</v>
      </c>
      <c r="D49" s="245">
        <v>239.04028641596437</v>
      </c>
      <c r="E49" s="245">
        <v>329.57785464229414</v>
      </c>
      <c r="F49" s="245">
        <v>388.49892806138456</v>
      </c>
      <c r="G49" s="245">
        <v>424.2718081185244</v>
      </c>
      <c r="H49" s="245">
        <v>433.44229292674419</v>
      </c>
      <c r="I49" s="245">
        <v>424.29340066005858</v>
      </c>
      <c r="J49" s="245">
        <v>397.49051071487725</v>
      </c>
      <c r="K49" s="245">
        <v>343.39776575599529</v>
      </c>
      <c r="L49" s="245">
        <v>263.19229553670277</v>
      </c>
      <c r="M49" s="245">
        <v>187.70322745760845</v>
      </c>
      <c r="N49" s="245">
        <v>148.79007226231613</v>
      </c>
      <c r="P49" s="239"/>
      <c r="Q49" s="247">
        <v>45</v>
      </c>
      <c r="R49" s="245">
        <v>171.34494654106558</v>
      </c>
      <c r="S49" s="245">
        <v>239.04028641596437</v>
      </c>
      <c r="T49" s="245">
        <v>329.57785464229414</v>
      </c>
      <c r="U49" s="245">
        <v>388.49892806138456</v>
      </c>
      <c r="V49" s="245">
        <v>424.2718081185244</v>
      </c>
      <c r="W49" s="245">
        <v>433.44229292674419</v>
      </c>
      <c r="X49" s="245">
        <v>424.29340066005858</v>
      </c>
      <c r="Y49" s="245">
        <v>397.49051071487725</v>
      </c>
      <c r="Z49" s="245">
        <v>343.39776575599529</v>
      </c>
      <c r="AA49" s="245">
        <v>263.19229553670277</v>
      </c>
      <c r="AB49" s="245">
        <v>187.70322745760845</v>
      </c>
      <c r="AC49" s="245">
        <v>148.79007226231613</v>
      </c>
    </row>
    <row r="50" spans="1:29" ht="15.75" thickBot="1" x14ac:dyDescent="0.3">
      <c r="A50" s="239"/>
      <c r="B50" s="247">
        <v>60</v>
      </c>
      <c r="C50" s="245">
        <v>164.61402530167996</v>
      </c>
      <c r="D50" s="245">
        <v>226.4563816249009</v>
      </c>
      <c r="E50" s="245">
        <v>306.00060291817488</v>
      </c>
      <c r="F50" s="245">
        <v>354.06908145850417</v>
      </c>
      <c r="G50" s="245">
        <v>381.94610425073552</v>
      </c>
      <c r="H50" s="245">
        <v>388.06754988352952</v>
      </c>
      <c r="I50" s="245">
        <v>380.55816179943099</v>
      </c>
      <c r="J50" s="245">
        <v>359.88091264281871</v>
      </c>
      <c r="K50" s="245">
        <v>315.5861342047229</v>
      </c>
      <c r="L50" s="245">
        <v>246.49616975690864</v>
      </c>
      <c r="M50" s="245">
        <v>178.97656296326207</v>
      </c>
      <c r="N50" s="245">
        <v>143.6061911512287</v>
      </c>
      <c r="P50" s="239"/>
      <c r="Q50" s="247">
        <v>60</v>
      </c>
      <c r="R50" s="245">
        <v>164.61402530167996</v>
      </c>
      <c r="S50" s="245">
        <v>226.4563816249009</v>
      </c>
      <c r="T50" s="245">
        <v>306.00060291817488</v>
      </c>
      <c r="U50" s="245">
        <v>354.06908145850417</v>
      </c>
      <c r="V50" s="245">
        <v>381.94610425073552</v>
      </c>
      <c r="W50" s="245">
        <v>388.06754988352952</v>
      </c>
      <c r="X50" s="245">
        <v>380.55816179943099</v>
      </c>
      <c r="Y50" s="245">
        <v>359.88091264281871</v>
      </c>
      <c r="Z50" s="245">
        <v>315.5861342047229</v>
      </c>
      <c r="AA50" s="245">
        <v>246.49616975690864</v>
      </c>
      <c r="AB50" s="245">
        <v>178.97656296326207</v>
      </c>
      <c r="AC50" s="245">
        <v>143.6061911512287</v>
      </c>
    </row>
    <row r="51" spans="1:29" ht="15.75" thickBot="1" x14ac:dyDescent="0.3">
      <c r="A51" s="239"/>
      <c r="B51" s="247">
        <v>75</v>
      </c>
      <c r="C51" s="245">
        <v>152.99844528216701</v>
      </c>
      <c r="D51" s="245">
        <v>207.88630133396799</v>
      </c>
      <c r="E51" s="245">
        <v>275.78645537152818</v>
      </c>
      <c r="F51" s="245">
        <v>313.53013018198737</v>
      </c>
      <c r="G51" s="245">
        <v>334.1761405363099</v>
      </c>
      <c r="H51" s="245">
        <v>337.67888477902233</v>
      </c>
      <c r="I51" s="245">
        <v>331.73971548778371</v>
      </c>
      <c r="J51" s="245">
        <v>316.62940947014937</v>
      </c>
      <c r="K51" s="245">
        <v>281.68848850454174</v>
      </c>
      <c r="L51" s="245">
        <v>223.93299092179208</v>
      </c>
      <c r="M51" s="245">
        <v>165.2378647044269</v>
      </c>
      <c r="N51" s="245">
        <v>134.00236437443522</v>
      </c>
      <c r="P51" s="239"/>
      <c r="Q51" s="247">
        <v>75</v>
      </c>
      <c r="R51" s="245">
        <v>152.99844528216701</v>
      </c>
      <c r="S51" s="245">
        <v>207.88630133396799</v>
      </c>
      <c r="T51" s="245">
        <v>275.78645537152818</v>
      </c>
      <c r="U51" s="245">
        <v>313.53013018198737</v>
      </c>
      <c r="V51" s="245">
        <v>334.1761405363099</v>
      </c>
      <c r="W51" s="245">
        <v>337.67888477902233</v>
      </c>
      <c r="X51" s="245">
        <v>331.73971548778371</v>
      </c>
      <c r="Y51" s="245">
        <v>316.62940947014937</v>
      </c>
      <c r="Z51" s="245">
        <v>281.68848850454174</v>
      </c>
      <c r="AA51" s="245">
        <v>223.93299092179208</v>
      </c>
      <c r="AB51" s="245">
        <v>165.2378647044269</v>
      </c>
      <c r="AC51" s="245">
        <v>134.00236437443522</v>
      </c>
    </row>
    <row r="52" spans="1:29" ht="15.75" thickBot="1" x14ac:dyDescent="0.3">
      <c r="A52" s="239"/>
      <c r="B52" s="246">
        <v>90</v>
      </c>
      <c r="C52" s="245">
        <v>136.65013510490434</v>
      </c>
      <c r="D52" s="245">
        <v>183.6496730888901</v>
      </c>
      <c r="E52" s="245">
        <v>239.69142838603511</v>
      </c>
      <c r="F52" s="245">
        <v>268.21226155528149</v>
      </c>
      <c r="G52" s="245">
        <v>282.75852390834893</v>
      </c>
      <c r="H52" s="245">
        <v>284.29078183767052</v>
      </c>
      <c r="I52" s="245">
        <v>279.75323673208101</v>
      </c>
      <c r="J52" s="245">
        <v>269.29081452572592</v>
      </c>
      <c r="K52" s="245">
        <v>242.71564375863758</v>
      </c>
      <c r="L52" s="245">
        <v>196.01650919309193</v>
      </c>
      <c r="M52" s="245">
        <v>146.72191359676046</v>
      </c>
      <c r="N52" s="245">
        <v>120.11231115805293</v>
      </c>
      <c r="P52" s="239"/>
      <c r="Q52" s="246">
        <v>90</v>
      </c>
      <c r="R52" s="245">
        <v>136.65013510490434</v>
      </c>
      <c r="S52" s="245">
        <v>183.6496730888901</v>
      </c>
      <c r="T52" s="245">
        <v>239.69142838603511</v>
      </c>
      <c r="U52" s="245">
        <v>268.21226155528149</v>
      </c>
      <c r="V52" s="245">
        <v>282.75852390834893</v>
      </c>
      <c r="W52" s="245">
        <v>284.29078183767052</v>
      </c>
      <c r="X52" s="245">
        <v>279.75323673208101</v>
      </c>
      <c r="Y52" s="245">
        <v>269.29081452572592</v>
      </c>
      <c r="Z52" s="245">
        <v>242.71564375863758</v>
      </c>
      <c r="AA52" s="245">
        <v>196.01650919309193</v>
      </c>
      <c r="AB52" s="245">
        <v>146.72191359676046</v>
      </c>
      <c r="AC52" s="245">
        <v>120.11231115805293</v>
      </c>
    </row>
    <row r="53" spans="1:29" ht="15.75" thickTop="1" x14ac:dyDescent="0.25">
      <c r="A53" s="239"/>
      <c r="B53" s="244" t="s">
        <v>153</v>
      </c>
      <c r="C53" s="244"/>
      <c r="D53" s="241">
        <f>CHOOSE(Zadání!D44,0,15,30,45,60,75,90)</f>
        <v>0</v>
      </c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P53" s="239"/>
      <c r="Q53" s="244" t="s">
        <v>153</v>
      </c>
      <c r="R53" s="244"/>
      <c r="S53" s="241">
        <f>CHOOSE(Zadání!G44,0,15,30,45,60,75,90)</f>
        <v>0</v>
      </c>
      <c r="T53" s="244"/>
      <c r="U53" s="244"/>
      <c r="V53" s="244"/>
      <c r="W53" s="244"/>
      <c r="X53" s="244"/>
      <c r="Y53" s="244"/>
      <c r="Z53" s="244"/>
      <c r="AA53" s="244"/>
      <c r="AB53" s="244"/>
      <c r="AC53" s="244"/>
    </row>
    <row r="54" spans="1:29" x14ac:dyDescent="0.25">
      <c r="A54" s="239"/>
      <c r="B54" s="243" t="s">
        <v>152</v>
      </c>
      <c r="C54" s="242" t="s">
        <v>150</v>
      </c>
      <c r="D54" s="242" t="s">
        <v>149</v>
      </c>
      <c r="E54" s="242" t="s">
        <v>148</v>
      </c>
      <c r="F54" s="242" t="s">
        <v>147</v>
      </c>
      <c r="G54" s="242" t="s">
        <v>146</v>
      </c>
      <c r="H54" s="242" t="s">
        <v>145</v>
      </c>
      <c r="I54" s="242" t="s">
        <v>144</v>
      </c>
      <c r="J54" s="242" t="s">
        <v>143</v>
      </c>
      <c r="K54" s="242" t="s">
        <v>142</v>
      </c>
      <c r="L54" s="242" t="s">
        <v>141</v>
      </c>
      <c r="M54" s="242" t="s">
        <v>140</v>
      </c>
      <c r="N54" s="242" t="s">
        <v>139</v>
      </c>
      <c r="P54" s="239"/>
      <c r="Q54" s="243" t="s">
        <v>152</v>
      </c>
      <c r="R54" s="242" t="s">
        <v>150</v>
      </c>
      <c r="S54" s="242" t="s">
        <v>149</v>
      </c>
      <c r="T54" s="242" t="s">
        <v>148</v>
      </c>
      <c r="U54" s="242" t="s">
        <v>147</v>
      </c>
      <c r="V54" s="242" t="s">
        <v>146</v>
      </c>
      <c r="W54" s="242" t="s">
        <v>145</v>
      </c>
      <c r="X54" s="242" t="s">
        <v>144</v>
      </c>
      <c r="Y54" s="242" t="s">
        <v>143</v>
      </c>
      <c r="Z54" s="242" t="s">
        <v>142</v>
      </c>
      <c r="AA54" s="242" t="s">
        <v>141</v>
      </c>
      <c r="AB54" s="242" t="s">
        <v>140</v>
      </c>
      <c r="AC54" s="242" t="s">
        <v>139</v>
      </c>
    </row>
    <row r="55" spans="1:29" x14ac:dyDescent="0.25">
      <c r="A55" s="239"/>
      <c r="B55" s="238">
        <v>0</v>
      </c>
      <c r="C55" s="238">
        <f t="shared" ref="C55:N55" si="0">C4</f>
        <v>175</v>
      </c>
      <c r="D55" s="238">
        <f t="shared" si="0"/>
        <v>253</v>
      </c>
      <c r="E55" s="238">
        <f t="shared" si="0"/>
        <v>365</v>
      </c>
      <c r="F55" s="238">
        <f t="shared" si="0"/>
        <v>446</v>
      </c>
      <c r="G55" s="238">
        <f t="shared" si="0"/>
        <v>498</v>
      </c>
      <c r="H55" s="238">
        <f t="shared" si="0"/>
        <v>514</v>
      </c>
      <c r="I55" s="238">
        <f t="shared" si="0"/>
        <v>501</v>
      </c>
      <c r="J55" s="238">
        <f t="shared" si="0"/>
        <v>462</v>
      </c>
      <c r="K55" s="238">
        <f t="shared" si="0"/>
        <v>388</v>
      </c>
      <c r="L55" s="238">
        <f t="shared" si="0"/>
        <v>285</v>
      </c>
      <c r="M55" s="238">
        <f t="shared" si="0"/>
        <v>195</v>
      </c>
      <c r="N55" s="238">
        <f t="shared" si="0"/>
        <v>150</v>
      </c>
      <c r="P55" s="239"/>
      <c r="Q55" s="238">
        <v>0</v>
      </c>
      <c r="R55" s="238">
        <f t="shared" ref="R55:AC55" si="1">R4</f>
        <v>175</v>
      </c>
      <c r="S55" s="238">
        <f t="shared" si="1"/>
        <v>253</v>
      </c>
      <c r="T55" s="238">
        <f t="shared" si="1"/>
        <v>365</v>
      </c>
      <c r="U55" s="238">
        <f t="shared" si="1"/>
        <v>446</v>
      </c>
      <c r="V55" s="238">
        <f t="shared" si="1"/>
        <v>498</v>
      </c>
      <c r="W55" s="238">
        <f t="shared" si="1"/>
        <v>514</v>
      </c>
      <c r="X55" s="238">
        <f t="shared" si="1"/>
        <v>501</v>
      </c>
      <c r="Y55" s="238">
        <f t="shared" si="1"/>
        <v>462</v>
      </c>
      <c r="Z55" s="238">
        <f t="shared" si="1"/>
        <v>388</v>
      </c>
      <c r="AA55" s="238">
        <f t="shared" si="1"/>
        <v>285</v>
      </c>
      <c r="AB55" s="238">
        <f t="shared" si="1"/>
        <v>195</v>
      </c>
      <c r="AC55" s="238">
        <f t="shared" si="1"/>
        <v>150</v>
      </c>
    </row>
    <row r="56" spans="1:29" x14ac:dyDescent="0.25">
      <c r="A56" s="239"/>
      <c r="B56" s="238">
        <v>15</v>
      </c>
      <c r="C56" s="238">
        <f>+CHOOSE(Zadání!$D$44,G!C5,G!C12,G!C19,G!C26,C33,C40,C47)</f>
        <v>273</v>
      </c>
      <c r="D56" s="238">
        <f>+CHOOSE(Zadání!$D$44,G!D5,G!D12,G!D19,G!D26,D33,D40,D47)</f>
        <v>353</v>
      </c>
      <c r="E56" s="238">
        <f>+CHOOSE(Zadání!$D$44,G!E5,G!E12,G!E19,G!E26,E33,E40,E47)</f>
        <v>448</v>
      </c>
      <c r="F56" s="238">
        <f>+CHOOSE(Zadání!$D$44,G!F5,G!F12,G!F19,G!F26,F33,F40,F47)</f>
        <v>501</v>
      </c>
      <c r="G56" s="238">
        <f>+CHOOSE(Zadání!$D$44,G!G5,G!G12,G!G19,G!G26,G33,G40,G47)</f>
        <v>535</v>
      </c>
      <c r="H56" s="238">
        <f>+CHOOSE(Zadání!$D$44,G!H5,G!H12,G!H19,G!H26,H33,H40,H47)</f>
        <v>545</v>
      </c>
      <c r="I56" s="238">
        <f>+CHOOSE(Zadání!$D$44,G!I5,G!I12,G!I19,G!I26,I33,I40,I47)</f>
        <v>534</v>
      </c>
      <c r="J56" s="238">
        <f>+CHOOSE(Zadání!$D$44,G!J5,G!J12,G!J19,G!J26,J33,J40,J47)</f>
        <v>508</v>
      </c>
      <c r="K56" s="238">
        <f>+CHOOSE(Zadání!$D$44,G!K5,G!K12,G!K19,G!K26,K33,K40,K47)</f>
        <v>457</v>
      </c>
      <c r="L56" s="238">
        <f>+CHOOSE(Zadání!$D$44,G!L5,G!L12,G!L19,G!L26,L33,L40,L47)</f>
        <v>375</v>
      </c>
      <c r="M56" s="238">
        <f>+CHOOSE(Zadání!$D$44,G!M5,G!M12,G!M19,G!M26,M33,M40,M47)</f>
        <v>290</v>
      </c>
      <c r="N56" s="238">
        <f>+CHOOSE(Zadání!$D$44,G!N5,G!N12,G!N19,G!N26,N33,N40,N47)</f>
        <v>245</v>
      </c>
      <c r="P56" s="239"/>
      <c r="Q56" s="238">
        <v>15</v>
      </c>
      <c r="R56" s="238">
        <f>+CHOOSE(Zadání!$G$44,G!R5,G!R12,G!R19,G!R26,R33,R40,R47)</f>
        <v>273</v>
      </c>
      <c r="S56" s="238">
        <f>+CHOOSE(Zadání!$G$44,G!S5,G!S12,G!S19,G!S26,S33,S40,S47)</f>
        <v>353</v>
      </c>
      <c r="T56" s="238">
        <f>+CHOOSE(Zadání!$G$44,G!T5,G!T12,G!T19,G!T26,T33,T40,T47)</f>
        <v>448</v>
      </c>
      <c r="U56" s="238">
        <f>+CHOOSE(Zadání!$G$44,G!U5,G!U12,G!U19,G!U26,U33,U40,U47)</f>
        <v>501</v>
      </c>
      <c r="V56" s="238">
        <f>+CHOOSE(Zadání!$G$44,G!V5,G!V12,G!V19,G!V26,V33,V40,V47)</f>
        <v>535</v>
      </c>
      <c r="W56" s="238">
        <f>+CHOOSE(Zadání!$G$44,G!W5,G!W12,G!W19,G!W26,W33,W40,W47)</f>
        <v>545</v>
      </c>
      <c r="X56" s="238">
        <f>+CHOOSE(Zadání!$G$44,G!X5,G!X12,G!X19,G!X26,X33,X40,X47)</f>
        <v>534</v>
      </c>
      <c r="Y56" s="238">
        <f>+CHOOSE(Zadání!$G$44,G!Y5,G!Y12,G!Y19,G!Y26,Y33,Y40,Y47)</f>
        <v>508</v>
      </c>
      <c r="Z56" s="238">
        <f>+CHOOSE(Zadání!$G$44,G!Z5,G!Z12,G!Z19,G!Z26,Z33,Z40,Z47)</f>
        <v>457</v>
      </c>
      <c r="AA56" s="238">
        <f>+CHOOSE(Zadání!$G$44,G!AA5,G!AA12,G!AA19,G!AA26,AA33,AA40,AA47)</f>
        <v>375</v>
      </c>
      <c r="AB56" s="238">
        <f>+CHOOSE(Zadání!$G$44,G!AB5,G!AB12,G!AB19,G!AB26,AB33,AB40,AB47)</f>
        <v>290</v>
      </c>
      <c r="AC56" s="238">
        <f>+CHOOSE(Zadání!$G$44,G!AC5,G!AC12,G!AC19,G!AC26,AC33,AC40,AC47)</f>
        <v>245</v>
      </c>
    </row>
    <row r="57" spans="1:29" x14ac:dyDescent="0.25">
      <c r="A57" s="239"/>
      <c r="B57" s="238">
        <v>30</v>
      </c>
      <c r="C57" s="238">
        <f>+CHOOSE(Zadání!$D$44,G!C6,G!C13,G!C20,G!C27,C34,C41,C48)</f>
        <v>356</v>
      </c>
      <c r="D57" s="238">
        <f>+CHOOSE(Zadání!$D$44,G!D6,G!D13,G!D20,G!D27,D34,D41,D48)</f>
        <v>434</v>
      </c>
      <c r="E57" s="238">
        <f>+CHOOSE(Zadání!$D$44,G!E6,G!E13,G!E20,G!E27,E34,E41,E48)</f>
        <v>506</v>
      </c>
      <c r="F57" s="238">
        <f>+CHOOSE(Zadání!$D$44,G!F6,G!F13,G!F20,G!F27,F34,F41,F48)</f>
        <v>529</v>
      </c>
      <c r="G57" s="238">
        <f>+CHOOSE(Zadání!$D$44,G!G6,G!G13,G!G20,G!G27,G34,G41,G48)</f>
        <v>543</v>
      </c>
      <c r="H57" s="238">
        <f>+CHOOSE(Zadání!$D$44,G!H6,G!H13,G!H20,G!H27,H34,H41,H48)</f>
        <v>546</v>
      </c>
      <c r="I57" s="238">
        <f>+CHOOSE(Zadání!$D$44,G!I6,G!I13,G!I20,G!I27,I34,I41,I48)</f>
        <v>538</v>
      </c>
      <c r="J57" s="238">
        <f>+CHOOSE(Zadání!$D$44,G!J6,G!J13,G!J20,G!J27,J34,J41,J48)</f>
        <v>526</v>
      </c>
      <c r="K57" s="238">
        <f>+CHOOSE(Zadání!$D$44,G!K6,G!K13,G!K20,G!K27,K34,K41,K48)</f>
        <v>501</v>
      </c>
      <c r="L57" s="238">
        <f>+CHOOSE(Zadání!$D$44,G!L6,G!L13,G!L20,G!L27,L34,L41,L48)</f>
        <v>444</v>
      </c>
      <c r="M57" s="238">
        <f>+CHOOSE(Zadání!$D$44,G!M6,G!M13,G!M20,G!M27,M34,M41,M48)</f>
        <v>369</v>
      </c>
      <c r="N57" s="238">
        <f>+CHOOSE(Zadání!$D$44,G!N6,G!N13,G!N20,G!N27,N34,N41,N48)</f>
        <v>325</v>
      </c>
      <c r="P57" s="239"/>
      <c r="Q57" s="238">
        <v>30</v>
      </c>
      <c r="R57" s="238">
        <f>+CHOOSE(Zadání!$G$44,G!R6,G!R13,G!R20,G!R27,R34,R41,R48)</f>
        <v>356</v>
      </c>
      <c r="S57" s="238">
        <f>+CHOOSE(Zadání!$G$44,G!S6,G!S13,G!S20,G!S27,S34,S41,S48)</f>
        <v>434</v>
      </c>
      <c r="T57" s="238">
        <f>+CHOOSE(Zadání!$G$44,G!T6,G!T13,G!T20,G!T27,T34,T41,T48)</f>
        <v>506</v>
      </c>
      <c r="U57" s="238">
        <f>+CHOOSE(Zadání!$G$44,G!U6,G!U13,G!U20,G!U27,U34,U41,U48)</f>
        <v>529</v>
      </c>
      <c r="V57" s="238">
        <f>+CHOOSE(Zadání!$G$44,G!V6,G!V13,G!V20,G!V27,V34,V41,V48)</f>
        <v>543</v>
      </c>
      <c r="W57" s="238">
        <f>+CHOOSE(Zadání!$G$44,G!W6,G!W13,G!W20,G!W27,W34,W41,W48)</f>
        <v>546</v>
      </c>
      <c r="X57" s="238">
        <f>+CHOOSE(Zadání!$G$44,G!X6,G!X13,G!X20,G!X27,X34,X41,X48)</f>
        <v>538</v>
      </c>
      <c r="Y57" s="238">
        <f>+CHOOSE(Zadání!$G$44,G!Y6,G!Y13,G!Y20,G!Y27,Y34,Y41,Y48)</f>
        <v>526</v>
      </c>
      <c r="Z57" s="238">
        <f>+CHOOSE(Zadání!$G$44,G!Z6,G!Z13,G!Z20,G!Z27,Z34,Z41,Z48)</f>
        <v>501</v>
      </c>
      <c r="AA57" s="238">
        <f>+CHOOSE(Zadání!$G$44,G!AA6,G!AA13,G!AA20,G!AA27,AA34,AA41,AA48)</f>
        <v>444</v>
      </c>
      <c r="AB57" s="238">
        <f>+CHOOSE(Zadání!$G$44,G!AB6,G!AB13,G!AB20,G!AB27,AB34,AB41,AB48)</f>
        <v>369</v>
      </c>
      <c r="AC57" s="238">
        <f>+CHOOSE(Zadání!$G$44,G!AC6,G!AC13,G!AC20,G!AC27,AC34,AC41,AC48)</f>
        <v>325</v>
      </c>
    </row>
    <row r="58" spans="1:29" x14ac:dyDescent="0.25">
      <c r="A58" s="239"/>
      <c r="B58" s="238">
        <v>45</v>
      </c>
      <c r="C58" s="238">
        <f>+CHOOSE(Zadání!$D$44,G!C7,G!C14,G!C21,G!C28,C35,C42,C49)</f>
        <v>418</v>
      </c>
      <c r="D58" s="238">
        <f>+CHOOSE(Zadání!$D$44,G!D7,G!D14,G!D21,G!D28,D35,D42,D49)</f>
        <v>489</v>
      </c>
      <c r="E58" s="238">
        <f>+CHOOSE(Zadání!$D$44,G!E7,G!E14,G!E21,G!E28,E35,E42,E49)</f>
        <v>535</v>
      </c>
      <c r="F58" s="238">
        <f>+CHOOSE(Zadání!$D$44,G!F7,G!F14,G!F21,G!F28,F35,F42,F49)</f>
        <v>527</v>
      </c>
      <c r="G58" s="238">
        <f>+CHOOSE(Zadání!$D$44,G!G7,G!G14,G!G21,G!G28,G35,G42,G49)</f>
        <v>521</v>
      </c>
      <c r="H58" s="238">
        <f>+CHOOSE(Zadání!$D$44,G!H7,G!H14,G!H21,G!H28,H35,H42,H49)</f>
        <v>517</v>
      </c>
      <c r="I58" s="238">
        <f>+CHOOSE(Zadání!$D$44,G!I7,G!I14,G!I21,G!I28,I35,I42,I49)</f>
        <v>512</v>
      </c>
      <c r="J58" s="238">
        <f>+CHOOSE(Zadání!$D$44,G!J7,G!J14,G!J21,G!J28,J35,J42,J49)</f>
        <v>515</v>
      </c>
      <c r="K58" s="238">
        <f>+CHOOSE(Zadání!$D$44,G!K7,G!K14,G!K21,G!K28,K35,K42,K49)</f>
        <v>516</v>
      </c>
      <c r="L58" s="238">
        <f>+CHOOSE(Zadání!$D$44,G!L7,G!L14,G!L21,G!L28,L35,L42,L49)</f>
        <v>488</v>
      </c>
      <c r="M58" s="238">
        <f>+CHOOSE(Zadání!$D$44,G!M7,G!M14,G!M21,G!M28,M35,M42,M49)</f>
        <v>427</v>
      </c>
      <c r="N58" s="238">
        <f>+CHOOSE(Zadání!$D$44,G!N7,G!N14,G!N21,G!N28,N35,N42,N49)</f>
        <v>387</v>
      </c>
      <c r="P58" s="239"/>
      <c r="Q58" s="238">
        <v>45</v>
      </c>
      <c r="R58" s="238">
        <f>+CHOOSE(Zadání!$G$44,G!R7,G!R14,G!R21,G!R28,R35,R42,R49)</f>
        <v>418</v>
      </c>
      <c r="S58" s="238">
        <f>+CHOOSE(Zadání!$G$44,G!S7,G!S14,G!S21,G!S28,S35,S42,S49)</f>
        <v>489</v>
      </c>
      <c r="T58" s="238">
        <f>+CHOOSE(Zadání!$G$44,G!T7,G!T14,G!T21,G!T28,T35,T42,T49)</f>
        <v>535</v>
      </c>
      <c r="U58" s="238">
        <f>+CHOOSE(Zadání!$G$44,G!U7,G!U14,G!U21,G!U28,U35,U42,U49)</f>
        <v>527</v>
      </c>
      <c r="V58" s="238">
        <f>+CHOOSE(Zadání!$G$44,G!V7,G!V14,G!V21,G!V28,V35,V42,V49)</f>
        <v>521</v>
      </c>
      <c r="W58" s="238">
        <f>+CHOOSE(Zadání!$G$44,G!W7,G!W14,G!W21,G!W28,W35,W42,W49)</f>
        <v>517</v>
      </c>
      <c r="X58" s="238">
        <f>+CHOOSE(Zadání!$G$44,G!X7,G!X14,G!X21,G!X28,X35,X42,X49)</f>
        <v>512</v>
      </c>
      <c r="Y58" s="238">
        <f>+CHOOSE(Zadání!$G$44,G!Y7,G!Y14,G!Y21,G!Y28,Y35,Y42,Y49)</f>
        <v>515</v>
      </c>
      <c r="Z58" s="238">
        <f>+CHOOSE(Zadání!$G$44,G!Z7,G!Z14,G!Z21,G!Z28,Z35,Z42,Z49)</f>
        <v>516</v>
      </c>
      <c r="AA58" s="238">
        <f>+CHOOSE(Zadání!$G$44,G!AA7,G!AA14,G!AA21,G!AA28,AA35,AA42,AA49)</f>
        <v>488</v>
      </c>
      <c r="AB58" s="238">
        <f>+CHOOSE(Zadání!$G$44,G!AB7,G!AB14,G!AB21,G!AB28,AB35,AB42,AB49)</f>
        <v>427</v>
      </c>
      <c r="AC58" s="238">
        <f>+CHOOSE(Zadání!$G$44,G!AC7,G!AC14,G!AC21,G!AC28,AC35,AC42,AC49)</f>
        <v>387</v>
      </c>
    </row>
    <row r="59" spans="1:29" x14ac:dyDescent="0.25">
      <c r="A59" s="239"/>
      <c r="B59" s="238">
        <v>60</v>
      </c>
      <c r="C59" s="238">
        <f>+CHOOSE(Zadání!$D$44,G!C8,G!C15,G!C22,G!C29,C36,C43,C50)</f>
        <v>454</v>
      </c>
      <c r="D59" s="238">
        <f>+CHOOSE(Zadání!$D$44,G!D8,G!D15,G!D22,G!D29,D36,D43,D50)</f>
        <v>514</v>
      </c>
      <c r="E59" s="238">
        <f>+CHOOSE(Zadání!$D$44,G!E8,G!E15,G!E22,G!E29,E36,E43,E50)</f>
        <v>533</v>
      </c>
      <c r="F59" s="238">
        <f>+CHOOSE(Zadání!$D$44,G!F8,G!F15,G!F22,G!F29,F36,F43,F50)</f>
        <v>496</v>
      </c>
      <c r="G59" s="238">
        <f>+CHOOSE(Zadání!$D$44,G!G8,G!G15,G!G22,G!G29,G36,G43,G50)</f>
        <v>470</v>
      </c>
      <c r="H59" s="238">
        <f>+CHOOSE(Zadání!$D$44,G!H8,G!H15,G!H22,G!H29,H36,H43,H50)</f>
        <v>460</v>
      </c>
      <c r="I59" s="238">
        <f>+CHOOSE(Zadání!$D$44,G!I8,G!I15,G!I22,G!I29,I36,I43,I50)</f>
        <v>459</v>
      </c>
      <c r="J59" s="238">
        <f>+CHOOSE(Zadání!$D$44,G!J8,G!J15,G!J22,G!J29,J36,J43,J50)</f>
        <v>476</v>
      </c>
      <c r="K59" s="238">
        <f>+CHOOSE(Zadání!$D$44,G!K8,G!K15,G!K22,G!K29,K36,K43,K50)</f>
        <v>503</v>
      </c>
      <c r="L59" s="238">
        <f>+CHOOSE(Zadání!$D$44,G!L8,G!L15,G!L22,G!L29,L36,L43,L50)</f>
        <v>502</v>
      </c>
      <c r="M59" s="238">
        <f>+CHOOSE(Zadání!$D$44,G!M8,G!M15,G!M22,G!M29,M36,M43,M50)</f>
        <v>458</v>
      </c>
      <c r="N59" s="238">
        <f>+CHOOSE(Zadání!$D$44,G!N8,G!N15,G!N22,G!N29,N36,N43,N50)</f>
        <v>424</v>
      </c>
      <c r="P59" s="239"/>
      <c r="Q59" s="238">
        <v>60</v>
      </c>
      <c r="R59" s="238">
        <f>+CHOOSE(Zadání!$G$44,G!R8,G!R15,G!R22,G!R29,R36,R43,R50)</f>
        <v>454</v>
      </c>
      <c r="S59" s="238">
        <f>+CHOOSE(Zadání!$G$44,G!S8,G!S15,G!S22,G!S29,S36,S43,S50)</f>
        <v>514</v>
      </c>
      <c r="T59" s="238">
        <f>+CHOOSE(Zadání!$G$44,G!T8,G!T15,G!T22,G!T29,T36,T43,T50)</f>
        <v>533</v>
      </c>
      <c r="U59" s="238">
        <f>+CHOOSE(Zadání!$G$44,G!U8,G!U15,G!U22,G!U29,U36,U43,U50)</f>
        <v>496</v>
      </c>
      <c r="V59" s="238">
        <f>+CHOOSE(Zadání!$G$44,G!V8,G!V15,G!V22,G!V29,V36,V43,V50)</f>
        <v>470</v>
      </c>
      <c r="W59" s="238">
        <f>+CHOOSE(Zadání!$G$44,G!W8,G!W15,G!W22,G!W29,W36,W43,W50)</f>
        <v>460</v>
      </c>
      <c r="X59" s="238">
        <f>+CHOOSE(Zadání!$G$44,G!X8,G!X15,G!X22,G!X29,X36,X43,X50)</f>
        <v>459</v>
      </c>
      <c r="Y59" s="238">
        <f>+CHOOSE(Zadání!$G$44,G!Y8,G!Y15,G!Y22,G!Y29,Y36,Y43,Y50)</f>
        <v>476</v>
      </c>
      <c r="Z59" s="238">
        <f>+CHOOSE(Zadání!$G$44,G!Z8,G!Z15,G!Z22,G!Z29,Z36,Z43,Z50)</f>
        <v>503</v>
      </c>
      <c r="AA59" s="238">
        <f>+CHOOSE(Zadání!$G$44,G!AA8,G!AA15,G!AA22,G!AA29,AA36,AA43,AA50)</f>
        <v>502</v>
      </c>
      <c r="AB59" s="238">
        <f>+CHOOSE(Zadání!$G$44,G!AB8,G!AB15,G!AB22,G!AB29,AB36,AB43,AB50)</f>
        <v>458</v>
      </c>
      <c r="AC59" s="238">
        <f>+CHOOSE(Zadání!$G$44,G!AC8,G!AC15,G!AC22,G!AC29,AC36,AC43,AC50)</f>
        <v>424</v>
      </c>
    </row>
    <row r="60" spans="1:29" x14ac:dyDescent="0.25">
      <c r="A60" s="239"/>
      <c r="B60" s="238">
        <v>75</v>
      </c>
      <c r="C60" s="238">
        <f>+CHOOSE(Zadání!$D$44,G!C9,G!C16,G!C23,G!C30,C37,C44,C51)</f>
        <v>463</v>
      </c>
      <c r="D60" s="238">
        <f>+CHOOSE(Zadání!$D$44,G!D9,G!D16,G!D23,G!D30,D37,D44,D51)</f>
        <v>509</v>
      </c>
      <c r="E60" s="238">
        <f>+CHOOSE(Zadání!$D$44,G!E9,G!E16,G!E23,G!E30,E37,E44,E51)</f>
        <v>500</v>
      </c>
      <c r="F60" s="238">
        <f>+CHOOSE(Zadání!$D$44,G!F9,G!F16,G!F23,G!F30,F37,F44,F51)</f>
        <v>437</v>
      </c>
      <c r="G60" s="238">
        <f>+CHOOSE(Zadání!$D$44,G!G9,G!G16,G!G23,G!G30,G37,G44,G51)</f>
        <v>394</v>
      </c>
      <c r="H60" s="238">
        <f>+CHOOSE(Zadání!$D$44,G!H9,G!H16,G!H23,G!H30,H37,H44,H51)</f>
        <v>379</v>
      </c>
      <c r="I60" s="238">
        <f>+CHOOSE(Zadání!$D$44,G!I9,G!I16,G!I23,G!I30,I37,I44,I51)</f>
        <v>381</v>
      </c>
      <c r="J60" s="238">
        <f>+CHOOSE(Zadání!$D$44,G!J9,G!J16,G!J23,G!J30,J37,J44,J51)</f>
        <v>411</v>
      </c>
      <c r="K60" s="238">
        <f>+CHOOSE(Zadání!$D$44,G!K9,G!K16,G!K23,G!K30,K37,K44,K51)</f>
        <v>461</v>
      </c>
      <c r="L60" s="238">
        <f>+CHOOSE(Zadání!$D$44,G!L9,G!L16,G!L23,G!L30,L37,L44,L51)</f>
        <v>488</v>
      </c>
      <c r="M60" s="238">
        <f>+CHOOSE(Zadání!$D$44,G!M9,G!M16,G!M23,G!M30,M37,M44,M51)</f>
        <v>462</v>
      </c>
      <c r="N60" s="238">
        <f>+CHOOSE(Zadání!$D$44,G!N9,G!N16,G!N23,G!N30,N37,N44,N51)</f>
        <v>436</v>
      </c>
      <c r="P60" s="239"/>
      <c r="Q60" s="238">
        <v>75</v>
      </c>
      <c r="R60" s="238">
        <f>+CHOOSE(Zadání!$G$44,G!R9,G!R16,G!R23,G!R30,R37,R44,R51)</f>
        <v>463</v>
      </c>
      <c r="S60" s="238">
        <f>+CHOOSE(Zadání!$G$44,G!S9,G!S16,G!S23,G!S30,S37,S44,S51)</f>
        <v>509</v>
      </c>
      <c r="T60" s="238">
        <f>+CHOOSE(Zadání!$G$44,G!T9,G!T16,G!T23,G!T30,T37,T44,T51)</f>
        <v>500</v>
      </c>
      <c r="U60" s="238">
        <f>+CHOOSE(Zadání!$G$44,G!U9,G!U16,G!U23,G!U30,U37,U44,U51)</f>
        <v>437</v>
      </c>
      <c r="V60" s="238">
        <f>+CHOOSE(Zadání!$G$44,G!V9,G!V16,G!V23,G!V30,V37,V44,V51)</f>
        <v>394</v>
      </c>
      <c r="W60" s="238">
        <f>+CHOOSE(Zadání!$G$44,G!W9,G!W16,G!W23,G!W30,W37,W44,W51)</f>
        <v>379</v>
      </c>
      <c r="X60" s="238">
        <f>+CHOOSE(Zadání!$G$44,G!X9,G!X16,G!X23,G!X30,X37,X44,X51)</f>
        <v>381</v>
      </c>
      <c r="Y60" s="238">
        <f>+CHOOSE(Zadání!$G$44,G!Y9,G!Y16,G!Y23,G!Y30,Y37,Y44,Y51)</f>
        <v>411</v>
      </c>
      <c r="Z60" s="238">
        <f>+CHOOSE(Zadání!$G$44,G!Z9,G!Z16,G!Z23,G!Z30,Z37,Z44,Z51)</f>
        <v>461</v>
      </c>
      <c r="AA60" s="238">
        <f>+CHOOSE(Zadání!$G$44,G!AA9,G!AA16,G!AA23,G!AA30,AA37,AA44,AA51)</f>
        <v>488</v>
      </c>
      <c r="AB60" s="238">
        <f>+CHOOSE(Zadání!$G$44,G!AB9,G!AB16,G!AB23,G!AB30,AB37,AB44,AB51)</f>
        <v>462</v>
      </c>
      <c r="AC60" s="238">
        <f>+CHOOSE(Zadání!$G$44,G!AC9,G!AC16,G!AC23,G!AC30,AC37,AC44,AC51)</f>
        <v>436</v>
      </c>
    </row>
    <row r="61" spans="1:29" x14ac:dyDescent="0.25">
      <c r="A61" s="239"/>
      <c r="B61" s="238">
        <v>90</v>
      </c>
      <c r="C61" s="238">
        <f>+CHOOSE(Zadání!$D$44,G!C10,G!C17,G!C24,G!C31,C38,C45,C52)</f>
        <v>443</v>
      </c>
      <c r="D61" s="238">
        <f>+CHOOSE(Zadání!$D$44,G!D10,G!D17,G!D24,G!D31,D38,D45,D52)</f>
        <v>473</v>
      </c>
      <c r="E61" s="238">
        <f>+CHOOSE(Zadání!$D$44,G!E10,G!E17,G!E24,G!E31,E38,E45,E52)</f>
        <v>438</v>
      </c>
      <c r="F61" s="238">
        <f>+CHOOSE(Zadání!$D$44,G!F10,G!F17,G!F24,G!F31,F38,F45,F52)</f>
        <v>355</v>
      </c>
      <c r="G61" s="238">
        <f>+CHOOSE(Zadání!$D$44,G!G10,G!G17,G!G24,G!G31,G38,G45,G52)</f>
        <v>299</v>
      </c>
      <c r="H61" s="238">
        <f>+CHOOSE(Zadání!$D$44,G!H10,G!H17,G!H24,G!H31,H38,H45,H52)</f>
        <v>279</v>
      </c>
      <c r="I61" s="238">
        <f>+CHOOSE(Zadání!$D$44,G!I10,G!I17,G!I24,G!I31,I38,I45,I52)</f>
        <v>285</v>
      </c>
      <c r="J61" s="238">
        <f>+CHOOSE(Zadání!$D$44,G!J10,G!J17,G!J24,G!J31,J38,J45,J52)</f>
        <v>325</v>
      </c>
      <c r="K61" s="238">
        <f>+CHOOSE(Zadání!$D$44,G!K10,G!K17,G!K24,G!K31,K38,K45,K52)</f>
        <v>393</v>
      </c>
      <c r="L61" s="238">
        <f>+CHOOSE(Zadání!$D$44,G!L10,G!L17,G!L24,G!L31,L38,L45,L52)</f>
        <v>444</v>
      </c>
      <c r="M61" s="238">
        <f>+CHOOSE(Zadání!$D$44,G!M10,G!M17,G!M24,G!M31,M38,M45,M52)</f>
        <v>438</v>
      </c>
      <c r="N61" s="238">
        <f>+CHOOSE(Zadání!$D$44,G!N10,G!N17,G!N24,G!N31,N38,N45,N52)</f>
        <v>421</v>
      </c>
      <c r="P61" s="239"/>
      <c r="Q61" s="238">
        <v>90</v>
      </c>
      <c r="R61" s="238">
        <f>+CHOOSE(Zadání!$G$44,G!R10,G!R17,G!R24,G!R31,R38,R45,R52)</f>
        <v>443</v>
      </c>
      <c r="S61" s="238">
        <f>+CHOOSE(Zadání!$G$44,G!S10,G!S17,G!S24,G!S31,S38,S45,S52)</f>
        <v>473</v>
      </c>
      <c r="T61" s="238">
        <f>+CHOOSE(Zadání!$G$44,G!T10,G!T17,G!T24,G!T31,T38,T45,T52)</f>
        <v>438</v>
      </c>
      <c r="U61" s="238">
        <f>+CHOOSE(Zadání!$G$44,G!U10,G!U17,G!U24,G!U31,U38,U45,U52)</f>
        <v>355</v>
      </c>
      <c r="V61" s="238">
        <f>+CHOOSE(Zadání!$G$44,G!V10,G!V17,G!V24,G!V31,V38,V45,V52)</f>
        <v>299</v>
      </c>
      <c r="W61" s="238">
        <f>+CHOOSE(Zadání!$G$44,G!W10,G!W17,G!W24,G!W31,W38,W45,W52)</f>
        <v>279</v>
      </c>
      <c r="X61" s="238">
        <f>+CHOOSE(Zadání!$G$44,G!X10,G!X17,G!X24,G!X31,X38,X45,X52)</f>
        <v>285</v>
      </c>
      <c r="Y61" s="238">
        <f>+CHOOSE(Zadání!$G$44,G!Y10,G!Y17,G!Y24,G!Y31,Y38,Y45,Y52)</f>
        <v>325</v>
      </c>
      <c r="Z61" s="238">
        <f>+CHOOSE(Zadání!$G$44,G!Z10,G!Z17,G!Z24,G!Z31,Z38,Z45,Z52)</f>
        <v>393</v>
      </c>
      <c r="AA61" s="238">
        <f>+CHOOSE(Zadání!$G$44,G!AA10,G!AA17,G!AA24,G!AA31,AA38,AA45,AA52)</f>
        <v>444</v>
      </c>
      <c r="AB61" s="238">
        <f>+CHOOSE(Zadání!$G$44,G!AB10,G!AB17,G!AB24,G!AB31,AB38,AB45,AB52)</f>
        <v>438</v>
      </c>
      <c r="AC61" s="238">
        <f>+CHOOSE(Zadání!$G$44,G!AC10,G!AC17,G!AC24,G!AC31,AC38,AC45,AC52)</f>
        <v>421</v>
      </c>
    </row>
    <row r="62" spans="1:29" x14ac:dyDescent="0.25">
      <c r="A62" s="239"/>
      <c r="B62" s="239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</row>
    <row r="63" spans="1:29" x14ac:dyDescent="0.25">
      <c r="A63" s="239"/>
      <c r="B63" s="239" t="s">
        <v>151</v>
      </c>
      <c r="C63" s="239"/>
      <c r="D63" s="241">
        <f>CHOOSE(Zadání!D43,0,15,30,45,60,75,90)</f>
        <v>45</v>
      </c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P63" s="239"/>
      <c r="Q63" s="239" t="s">
        <v>151</v>
      </c>
      <c r="R63" s="239"/>
      <c r="S63" s="241">
        <f>CHOOSE(Zadání!G43,0,15,30,45,60,75,90)</f>
        <v>45</v>
      </c>
      <c r="T63" s="239"/>
      <c r="U63" s="239"/>
      <c r="V63" s="239"/>
      <c r="W63" s="239"/>
      <c r="X63" s="239"/>
      <c r="Y63" s="239"/>
      <c r="Z63" s="239"/>
      <c r="AA63" s="239"/>
      <c r="AB63" s="239"/>
      <c r="AC63" s="239"/>
    </row>
    <row r="64" spans="1:29" x14ac:dyDescent="0.25">
      <c r="A64" s="239"/>
      <c r="B64" s="239"/>
      <c r="C64" s="240" t="s">
        <v>150</v>
      </c>
      <c r="D64" s="240" t="s">
        <v>149</v>
      </c>
      <c r="E64" s="240" t="s">
        <v>148</v>
      </c>
      <c r="F64" s="240" t="s">
        <v>147</v>
      </c>
      <c r="G64" s="240" t="s">
        <v>146</v>
      </c>
      <c r="H64" s="240" t="s">
        <v>145</v>
      </c>
      <c r="I64" s="240" t="s">
        <v>144</v>
      </c>
      <c r="J64" s="240" t="s">
        <v>143</v>
      </c>
      <c r="K64" s="240" t="s">
        <v>142</v>
      </c>
      <c r="L64" s="240" t="s">
        <v>141</v>
      </c>
      <c r="M64" s="240" t="s">
        <v>140</v>
      </c>
      <c r="N64" s="240" t="s">
        <v>139</v>
      </c>
      <c r="P64" s="239"/>
      <c r="Q64" s="239"/>
      <c r="R64" s="240" t="s">
        <v>150</v>
      </c>
      <c r="S64" s="240" t="s">
        <v>149</v>
      </c>
      <c r="T64" s="240" t="s">
        <v>148</v>
      </c>
      <c r="U64" s="240" t="s">
        <v>147</v>
      </c>
      <c r="V64" s="240" t="s">
        <v>146</v>
      </c>
      <c r="W64" s="240" t="s">
        <v>145</v>
      </c>
      <c r="X64" s="240" t="s">
        <v>144</v>
      </c>
      <c r="Y64" s="240" t="s">
        <v>143</v>
      </c>
      <c r="Z64" s="240" t="s">
        <v>142</v>
      </c>
      <c r="AA64" s="240" t="s">
        <v>141</v>
      </c>
      <c r="AB64" s="240" t="s">
        <v>140</v>
      </c>
      <c r="AC64" s="240" t="s">
        <v>139</v>
      </c>
    </row>
    <row r="65" spans="1:29" x14ac:dyDescent="0.25">
      <c r="A65" s="239"/>
      <c r="B65" s="238">
        <f>D63</f>
        <v>45</v>
      </c>
      <c r="C65" s="238">
        <f>VLOOKUP($D$63,$B$55:$N$61,2,FALSE)</f>
        <v>418</v>
      </c>
      <c r="D65" s="238">
        <f>VLOOKUP($D$63,$B$55:$N$61,3,FALSE)</f>
        <v>489</v>
      </c>
      <c r="E65" s="238">
        <f>VLOOKUP($D$63,$B$55:$N$61,4,FALSE)</f>
        <v>535</v>
      </c>
      <c r="F65" s="238">
        <f>VLOOKUP($D$63,$B$55:$N$61,5,FALSE)</f>
        <v>527</v>
      </c>
      <c r="G65" s="238">
        <f>VLOOKUP($D$63,$B$55:$N$61,6,FALSE)</f>
        <v>521</v>
      </c>
      <c r="H65" s="238">
        <f>VLOOKUP($D$63,$B$55:$N$61,7,FALSE)</f>
        <v>517</v>
      </c>
      <c r="I65" s="238">
        <f>VLOOKUP($D$63,$B$55:$N$61,8,FALSE)</f>
        <v>512</v>
      </c>
      <c r="J65" s="238">
        <f>VLOOKUP($D$63,$B$55:$N$61,9,FALSE)</f>
        <v>515</v>
      </c>
      <c r="K65" s="238">
        <f>VLOOKUP($D$63,$B$55:$N$61,10,FALSE)</f>
        <v>516</v>
      </c>
      <c r="L65" s="238">
        <f>VLOOKUP($D$63,$B$55:$N$61,11,FALSE)</f>
        <v>488</v>
      </c>
      <c r="M65" s="238">
        <f>VLOOKUP($D$63,$B$55:$N$61,12,FALSE)</f>
        <v>427</v>
      </c>
      <c r="N65" s="238">
        <f>VLOOKUP($D$63,$B$55:$N$61,13,FALSE)</f>
        <v>387</v>
      </c>
      <c r="P65" s="239"/>
      <c r="Q65" s="238">
        <f>S63</f>
        <v>45</v>
      </c>
      <c r="R65" s="238">
        <f>VLOOKUP($S$63,$Q$55:$AC$61,2,FALSE)</f>
        <v>418</v>
      </c>
      <c r="S65" s="238">
        <f>VLOOKUP($S$63,$Q$55:$AC$61,3,FALSE)</f>
        <v>489</v>
      </c>
      <c r="T65" s="238">
        <f>VLOOKUP($S$63,$Q$55:$AC$61,4,FALSE)</f>
        <v>535</v>
      </c>
      <c r="U65" s="238">
        <f>VLOOKUP($S$63,$Q$55:$AC$61,5,FALSE)</f>
        <v>527</v>
      </c>
      <c r="V65" s="238">
        <f>VLOOKUP($S$63,$Q$55:$AC$61,6,FALSE)</f>
        <v>521</v>
      </c>
      <c r="W65" s="238">
        <f>VLOOKUP($S$63,$Q$55:$AC$61,7,FALSE)</f>
        <v>517</v>
      </c>
      <c r="X65" s="238">
        <f>VLOOKUP($S$63,$Q$55:$AC$61,8,FALSE)</f>
        <v>512</v>
      </c>
      <c r="Y65" s="238">
        <f>VLOOKUP($S$63,$Q$55:$AC$61,9,FALSE)</f>
        <v>515</v>
      </c>
      <c r="Z65" s="238">
        <f>VLOOKUP($S$63,$Q$55:$AC$61,10,FALSE)</f>
        <v>516</v>
      </c>
      <c r="AA65" s="238">
        <f>VLOOKUP($S$63,$Q$55:$AC$61,11,FALSE)</f>
        <v>488</v>
      </c>
      <c r="AB65" s="238">
        <f>VLOOKUP($S$63,$Q$55:$AC$61,12,FALSE)</f>
        <v>427</v>
      </c>
      <c r="AC65" s="238">
        <f>VLOOKUP($S$63,$Q$55:$AC$61,13,FALSE)</f>
        <v>387</v>
      </c>
    </row>
    <row r="67" spans="1:29" x14ac:dyDescent="0.25">
      <c r="B67" s="261" t="s">
        <v>175</v>
      </c>
      <c r="C67" s="261">
        <f>CHOOSE(Zadání!$D$44,C68,C69,C70,C71,C72,C73,C74)</f>
        <v>0.9</v>
      </c>
      <c r="Q67" s="261" t="s">
        <v>183</v>
      </c>
      <c r="R67" s="261">
        <f>CHOOSE(Zadání!$G$44,R68,R69,R70,R71,R72,R73,R74)</f>
        <v>0.9</v>
      </c>
    </row>
    <row r="68" spans="1:29" x14ac:dyDescent="0.25">
      <c r="B68" t="s">
        <v>176</v>
      </c>
      <c r="C68">
        <v>0.9</v>
      </c>
      <c r="Q68" t="s">
        <v>176</v>
      </c>
      <c r="R68">
        <v>0.9</v>
      </c>
    </row>
    <row r="69" spans="1:29" x14ac:dyDescent="0.25">
      <c r="B69" t="s">
        <v>177</v>
      </c>
      <c r="C69">
        <v>0.9</v>
      </c>
      <c r="Q69" t="s">
        <v>177</v>
      </c>
      <c r="R69">
        <v>0.9</v>
      </c>
    </row>
    <row r="70" spans="1:29" x14ac:dyDescent="0.25">
      <c r="B70" t="s">
        <v>178</v>
      </c>
      <c r="C70">
        <v>0.9</v>
      </c>
      <c r="Q70" t="s">
        <v>178</v>
      </c>
      <c r="R70">
        <v>0.9</v>
      </c>
    </row>
    <row r="71" spans="1:29" x14ac:dyDescent="0.25">
      <c r="B71" t="s">
        <v>179</v>
      </c>
      <c r="C71">
        <v>0.9</v>
      </c>
      <c r="Q71" t="s">
        <v>179</v>
      </c>
      <c r="R71">
        <v>0.9</v>
      </c>
    </row>
    <row r="72" spans="1:29" x14ac:dyDescent="0.25">
      <c r="B72" t="s">
        <v>180</v>
      </c>
      <c r="C72">
        <v>0.8</v>
      </c>
      <c r="Q72" t="s">
        <v>180</v>
      </c>
      <c r="R72">
        <v>0.8</v>
      </c>
    </row>
    <row r="73" spans="1:29" x14ac:dyDescent="0.25">
      <c r="B73" t="s">
        <v>181</v>
      </c>
      <c r="C73">
        <v>0.75</v>
      </c>
      <c r="Q73" t="s">
        <v>181</v>
      </c>
      <c r="R73">
        <v>0.75</v>
      </c>
    </row>
    <row r="74" spans="1:29" x14ac:dyDescent="0.25">
      <c r="B74" t="s">
        <v>182</v>
      </c>
      <c r="C74">
        <v>0.7</v>
      </c>
      <c r="Q74" t="s">
        <v>182</v>
      </c>
      <c r="R74">
        <v>0.7</v>
      </c>
    </row>
  </sheetData>
  <sheetProtection algorithmName="SHA-512" hashValue="dne6bTODnnpcET4//lPwiPPWdCj2IK5nxORbNlfJSxf3+ja3K41aKx6RJhSFAVoXDBf90Yrigl+HwlIYS0Quow==" saltValue="KcQAi5HgKedgKPX4+Ag+0Q==" spinCount="100000" sheet="1" objects="1" scenarios="1"/>
  <mergeCells count="16">
    <mergeCell ref="Q32:AC32"/>
    <mergeCell ref="Q39:AC39"/>
    <mergeCell ref="Q46:AC46"/>
    <mergeCell ref="R1:AC1"/>
    <mergeCell ref="Q3:AC3"/>
    <mergeCell ref="Q11:AC11"/>
    <mergeCell ref="Q18:AC18"/>
    <mergeCell ref="Q25:AC25"/>
    <mergeCell ref="B32:N32"/>
    <mergeCell ref="B39:N39"/>
    <mergeCell ref="B46:N46"/>
    <mergeCell ref="C1:N1"/>
    <mergeCell ref="B3:N3"/>
    <mergeCell ref="B11:N11"/>
    <mergeCell ref="B18:N18"/>
    <mergeCell ref="B25:N25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173C-F4AD-4133-B396-06E482B09A9D}">
  <sheetPr codeName="List4"/>
  <dimension ref="A1:AC65"/>
  <sheetViews>
    <sheetView topLeftCell="C13" zoomScale="85" zoomScaleNormal="85" workbookViewId="0">
      <selection activeCell="R65" sqref="R65"/>
    </sheetView>
  </sheetViews>
  <sheetFormatPr defaultRowHeight="15" x14ac:dyDescent="0.25"/>
  <cols>
    <col min="1" max="16384" width="9.140625" style="237"/>
  </cols>
  <sheetData>
    <row r="1" spans="1:29" ht="37.5" thickTop="1" thickBot="1" x14ac:dyDescent="0.3">
      <c r="A1" s="239"/>
      <c r="B1" s="254" t="s">
        <v>162</v>
      </c>
      <c r="C1" s="360" t="s">
        <v>165</v>
      </c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2"/>
      <c r="P1" s="239"/>
      <c r="Q1" s="254" t="s">
        <v>162</v>
      </c>
      <c r="R1" s="360" t="s">
        <v>165</v>
      </c>
      <c r="S1" s="361"/>
      <c r="T1" s="361"/>
      <c r="U1" s="361"/>
      <c r="V1" s="361"/>
      <c r="W1" s="361"/>
      <c r="X1" s="361"/>
      <c r="Y1" s="361"/>
      <c r="Z1" s="361"/>
      <c r="AA1" s="361"/>
      <c r="AB1" s="361"/>
      <c r="AC1" s="362"/>
    </row>
    <row r="2" spans="1:29" ht="15.75" thickBot="1" x14ac:dyDescent="0.3">
      <c r="A2" s="239"/>
      <c r="B2" s="253" t="s">
        <v>152</v>
      </c>
      <c r="C2" s="252" t="s">
        <v>150</v>
      </c>
      <c r="D2" s="252" t="s">
        <v>149</v>
      </c>
      <c r="E2" s="252" t="s">
        <v>148</v>
      </c>
      <c r="F2" s="252" t="s">
        <v>147</v>
      </c>
      <c r="G2" s="252" t="s">
        <v>146</v>
      </c>
      <c r="H2" s="252" t="s">
        <v>145</v>
      </c>
      <c r="I2" s="252" t="s">
        <v>144</v>
      </c>
      <c r="J2" s="252" t="s">
        <v>143</v>
      </c>
      <c r="K2" s="252" t="s">
        <v>142</v>
      </c>
      <c r="L2" s="252" t="s">
        <v>141</v>
      </c>
      <c r="M2" s="252" t="s">
        <v>140</v>
      </c>
      <c r="N2" s="251" t="s">
        <v>139</v>
      </c>
      <c r="P2" s="239"/>
      <c r="Q2" s="253" t="s">
        <v>152</v>
      </c>
      <c r="R2" s="252" t="s">
        <v>150</v>
      </c>
      <c r="S2" s="252" t="s">
        <v>149</v>
      </c>
      <c r="T2" s="252" t="s">
        <v>148</v>
      </c>
      <c r="U2" s="252" t="s">
        <v>147</v>
      </c>
      <c r="V2" s="252" t="s">
        <v>146</v>
      </c>
      <c r="W2" s="252" t="s">
        <v>145</v>
      </c>
      <c r="X2" s="252" t="s">
        <v>144</v>
      </c>
      <c r="Y2" s="252" t="s">
        <v>143</v>
      </c>
      <c r="Z2" s="252" t="s">
        <v>142</v>
      </c>
      <c r="AA2" s="252" t="s">
        <v>141</v>
      </c>
      <c r="AB2" s="252" t="s">
        <v>140</v>
      </c>
      <c r="AC2" s="251" t="s">
        <v>139</v>
      </c>
    </row>
    <row r="3" spans="1:29" ht="16.5" thickTop="1" thickBot="1" x14ac:dyDescent="0.3">
      <c r="A3" s="239"/>
      <c r="B3" s="357" t="s">
        <v>160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9"/>
      <c r="P3" s="239"/>
      <c r="Q3" s="357" t="s">
        <v>160</v>
      </c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9"/>
    </row>
    <row r="4" spans="1:29" ht="15.75" thickBot="1" x14ac:dyDescent="0.3">
      <c r="A4" s="239">
        <v>0</v>
      </c>
      <c r="B4" s="247">
        <v>0</v>
      </c>
      <c r="C4" s="255">
        <v>20.8</v>
      </c>
      <c r="D4" s="255">
        <v>37</v>
      </c>
      <c r="E4" s="255">
        <v>72.2</v>
      </c>
      <c r="F4" s="255">
        <v>113.8</v>
      </c>
      <c r="G4" s="255">
        <v>148.80000000000001</v>
      </c>
      <c r="H4" s="255">
        <v>146.19999999999999</v>
      </c>
      <c r="I4" s="255">
        <v>144.30000000000001</v>
      </c>
      <c r="J4" s="255">
        <v>136.19999999999999</v>
      </c>
      <c r="K4" s="255">
        <v>87.1</v>
      </c>
      <c r="L4" s="255">
        <v>56.5</v>
      </c>
      <c r="M4" s="255">
        <v>25.2</v>
      </c>
      <c r="N4" s="256">
        <v>14.9</v>
      </c>
      <c r="P4" s="239">
        <v>0</v>
      </c>
      <c r="Q4" s="247">
        <v>0</v>
      </c>
      <c r="R4" s="255">
        <v>20.8</v>
      </c>
      <c r="S4" s="255">
        <v>37</v>
      </c>
      <c r="T4" s="255">
        <v>72.2</v>
      </c>
      <c r="U4" s="255">
        <v>113.8</v>
      </c>
      <c r="V4" s="255">
        <v>148.80000000000001</v>
      </c>
      <c r="W4" s="255">
        <v>146.19999999999999</v>
      </c>
      <c r="X4" s="255">
        <v>144.30000000000001</v>
      </c>
      <c r="Y4" s="255">
        <v>136.19999999999999</v>
      </c>
      <c r="Z4" s="255">
        <v>87.1</v>
      </c>
      <c r="AA4" s="255">
        <v>56.5</v>
      </c>
      <c r="AB4" s="255">
        <v>25.2</v>
      </c>
      <c r="AC4" s="256">
        <v>14.9</v>
      </c>
    </row>
    <row r="5" spans="1:29" ht="15.75" thickBot="1" x14ac:dyDescent="0.3">
      <c r="A5" s="239"/>
      <c r="B5" s="247">
        <v>15</v>
      </c>
      <c r="C5" s="255">
        <v>27.5</v>
      </c>
      <c r="D5" s="255">
        <v>46.4</v>
      </c>
      <c r="E5" s="255">
        <v>89</v>
      </c>
      <c r="F5" s="255">
        <v>124.6</v>
      </c>
      <c r="G5" s="255">
        <v>155.5</v>
      </c>
      <c r="H5" s="255">
        <v>149.80000000000001</v>
      </c>
      <c r="I5" s="255">
        <v>148.80000000000001</v>
      </c>
      <c r="J5" s="255">
        <v>147.30000000000001</v>
      </c>
      <c r="K5" s="255">
        <v>97.9</v>
      </c>
      <c r="L5" s="255">
        <v>69.900000000000006</v>
      </c>
      <c r="M5" s="255">
        <v>33.799999999999997</v>
      </c>
      <c r="N5" s="256">
        <v>20.8</v>
      </c>
      <c r="P5" s="239"/>
      <c r="Q5" s="247">
        <v>15</v>
      </c>
      <c r="R5" s="255">
        <v>27.5</v>
      </c>
      <c r="S5" s="255">
        <v>46.4</v>
      </c>
      <c r="T5" s="255">
        <v>89</v>
      </c>
      <c r="U5" s="255">
        <v>124.6</v>
      </c>
      <c r="V5" s="255">
        <v>155.5</v>
      </c>
      <c r="W5" s="255">
        <v>149.80000000000001</v>
      </c>
      <c r="X5" s="255">
        <v>148.80000000000001</v>
      </c>
      <c r="Y5" s="255">
        <v>147.30000000000001</v>
      </c>
      <c r="Z5" s="255">
        <v>97.9</v>
      </c>
      <c r="AA5" s="255">
        <v>69.900000000000006</v>
      </c>
      <c r="AB5" s="255">
        <v>33.799999999999997</v>
      </c>
      <c r="AC5" s="256">
        <v>20.8</v>
      </c>
    </row>
    <row r="6" spans="1:29" ht="15.75" thickBot="1" x14ac:dyDescent="0.3">
      <c r="A6" s="239"/>
      <c r="B6" s="247">
        <v>30</v>
      </c>
      <c r="C6" s="255">
        <v>32</v>
      </c>
      <c r="D6" s="255">
        <v>53.1</v>
      </c>
      <c r="E6" s="255">
        <v>90.8</v>
      </c>
      <c r="F6" s="255">
        <v>128.9</v>
      </c>
      <c r="G6" s="255">
        <v>154.80000000000001</v>
      </c>
      <c r="H6" s="255">
        <v>146.19999999999999</v>
      </c>
      <c r="I6" s="255">
        <v>145.80000000000001</v>
      </c>
      <c r="J6" s="255">
        <v>151.80000000000001</v>
      </c>
      <c r="K6" s="255">
        <v>104.4</v>
      </c>
      <c r="L6" s="255">
        <v>79.599999999999994</v>
      </c>
      <c r="M6" s="255">
        <v>41</v>
      </c>
      <c r="N6" s="256">
        <v>25.3</v>
      </c>
      <c r="P6" s="239"/>
      <c r="Q6" s="247">
        <v>30</v>
      </c>
      <c r="R6" s="255">
        <v>32</v>
      </c>
      <c r="S6" s="255">
        <v>53.1</v>
      </c>
      <c r="T6" s="255">
        <v>90.8</v>
      </c>
      <c r="U6" s="255">
        <v>128.9</v>
      </c>
      <c r="V6" s="255">
        <v>154.80000000000001</v>
      </c>
      <c r="W6" s="255">
        <v>146.19999999999999</v>
      </c>
      <c r="X6" s="255">
        <v>145.80000000000001</v>
      </c>
      <c r="Y6" s="255">
        <v>151.80000000000001</v>
      </c>
      <c r="Z6" s="255">
        <v>104.4</v>
      </c>
      <c r="AA6" s="255">
        <v>79.599999999999994</v>
      </c>
      <c r="AB6" s="255">
        <v>41</v>
      </c>
      <c r="AC6" s="256">
        <v>25.3</v>
      </c>
    </row>
    <row r="7" spans="1:29" ht="15.75" thickBot="1" x14ac:dyDescent="0.3">
      <c r="A7" s="239"/>
      <c r="B7" s="247">
        <v>45</v>
      </c>
      <c r="C7" s="255">
        <v>35.700000000000003</v>
      </c>
      <c r="D7" s="255">
        <v>57.1</v>
      </c>
      <c r="E7" s="255">
        <v>93</v>
      </c>
      <c r="F7" s="255">
        <v>127.4</v>
      </c>
      <c r="G7" s="255">
        <v>147.30000000000001</v>
      </c>
      <c r="H7" s="255">
        <v>136.1</v>
      </c>
      <c r="I7" s="255">
        <v>136.9</v>
      </c>
      <c r="J7" s="255">
        <v>148.1</v>
      </c>
      <c r="K7" s="255">
        <v>105.1</v>
      </c>
      <c r="L7" s="255">
        <v>85.6</v>
      </c>
      <c r="M7" s="255">
        <v>46.1</v>
      </c>
      <c r="N7" s="256">
        <v>29</v>
      </c>
      <c r="P7" s="239"/>
      <c r="Q7" s="247">
        <v>45</v>
      </c>
      <c r="R7" s="255">
        <v>35.700000000000003</v>
      </c>
      <c r="S7" s="255">
        <v>57.1</v>
      </c>
      <c r="T7" s="255">
        <v>93</v>
      </c>
      <c r="U7" s="255">
        <v>127.4</v>
      </c>
      <c r="V7" s="255">
        <v>147.30000000000001</v>
      </c>
      <c r="W7" s="255">
        <v>136.1</v>
      </c>
      <c r="X7" s="255">
        <v>136.9</v>
      </c>
      <c r="Y7" s="255">
        <v>148.1</v>
      </c>
      <c r="Z7" s="255">
        <v>105.1</v>
      </c>
      <c r="AA7" s="255">
        <v>85.6</v>
      </c>
      <c r="AB7" s="255">
        <v>46.1</v>
      </c>
      <c r="AC7" s="256">
        <v>29</v>
      </c>
    </row>
    <row r="8" spans="1:29" ht="15.75" thickBot="1" x14ac:dyDescent="0.3">
      <c r="A8" s="239"/>
      <c r="B8" s="247">
        <v>60</v>
      </c>
      <c r="C8" s="255">
        <v>37.200000000000003</v>
      </c>
      <c r="D8" s="255">
        <v>57.8</v>
      </c>
      <c r="E8" s="255">
        <v>91.5</v>
      </c>
      <c r="F8" s="255">
        <v>118.8</v>
      </c>
      <c r="G8" s="255">
        <v>132.4</v>
      </c>
      <c r="H8" s="255">
        <v>120.2</v>
      </c>
      <c r="I8" s="255">
        <v>121.3</v>
      </c>
      <c r="J8" s="255">
        <v>136.9</v>
      </c>
      <c r="K8" s="255">
        <v>100.8</v>
      </c>
      <c r="L8" s="255">
        <v>86.3</v>
      </c>
      <c r="M8" s="255">
        <v>48.2</v>
      </c>
      <c r="N8" s="256">
        <v>30.5</v>
      </c>
      <c r="P8" s="239"/>
      <c r="Q8" s="247">
        <v>60</v>
      </c>
      <c r="R8" s="255">
        <v>37.200000000000003</v>
      </c>
      <c r="S8" s="255">
        <v>57.8</v>
      </c>
      <c r="T8" s="255">
        <v>91.5</v>
      </c>
      <c r="U8" s="255">
        <v>118.8</v>
      </c>
      <c r="V8" s="255">
        <v>132.4</v>
      </c>
      <c r="W8" s="255">
        <v>120.2</v>
      </c>
      <c r="X8" s="255">
        <v>121.3</v>
      </c>
      <c r="Y8" s="255">
        <v>136.9</v>
      </c>
      <c r="Z8" s="255">
        <v>100.8</v>
      </c>
      <c r="AA8" s="255">
        <v>86.3</v>
      </c>
      <c r="AB8" s="255">
        <v>48.2</v>
      </c>
      <c r="AC8" s="256">
        <v>30.5</v>
      </c>
    </row>
    <row r="9" spans="1:29" ht="15.75" thickBot="1" x14ac:dyDescent="0.3">
      <c r="A9" s="239"/>
      <c r="B9" s="247">
        <v>75</v>
      </c>
      <c r="C9" s="255">
        <v>36.5</v>
      </c>
      <c r="D9" s="255">
        <v>55.8</v>
      </c>
      <c r="E9" s="255">
        <v>84.8</v>
      </c>
      <c r="F9" s="255">
        <v>105.1</v>
      </c>
      <c r="G9" s="255">
        <v>111.6</v>
      </c>
      <c r="H9" s="255">
        <v>99.4</v>
      </c>
      <c r="I9" s="255">
        <v>101.2</v>
      </c>
      <c r="J9" s="255">
        <v>119</v>
      </c>
      <c r="K9" s="255">
        <v>91.4</v>
      </c>
      <c r="L9" s="255">
        <v>82.6</v>
      </c>
      <c r="M9" s="255">
        <v>48.2</v>
      </c>
      <c r="N9" s="256">
        <v>30.5</v>
      </c>
      <c r="P9" s="239"/>
      <c r="Q9" s="247">
        <v>75</v>
      </c>
      <c r="R9" s="255">
        <v>36.5</v>
      </c>
      <c r="S9" s="255">
        <v>55.8</v>
      </c>
      <c r="T9" s="255">
        <v>84.8</v>
      </c>
      <c r="U9" s="255">
        <v>105.1</v>
      </c>
      <c r="V9" s="255">
        <v>111.6</v>
      </c>
      <c r="W9" s="255">
        <v>99.4</v>
      </c>
      <c r="X9" s="255">
        <v>101.2</v>
      </c>
      <c r="Y9" s="255">
        <v>119</v>
      </c>
      <c r="Z9" s="255">
        <v>91.4</v>
      </c>
      <c r="AA9" s="255">
        <v>82.6</v>
      </c>
      <c r="AB9" s="255">
        <v>48.2</v>
      </c>
      <c r="AC9" s="256">
        <v>30.5</v>
      </c>
    </row>
    <row r="10" spans="1:29" ht="15.75" thickBot="1" x14ac:dyDescent="0.3">
      <c r="A10" s="239"/>
      <c r="B10" s="246">
        <v>90</v>
      </c>
      <c r="C10" s="252">
        <v>34.200000000000003</v>
      </c>
      <c r="D10" s="252">
        <v>51.1</v>
      </c>
      <c r="E10" s="252">
        <v>74.400000000000006</v>
      </c>
      <c r="F10" s="252">
        <v>85.7</v>
      </c>
      <c r="G10" s="252">
        <v>87</v>
      </c>
      <c r="H10" s="252">
        <v>75.599999999999994</v>
      </c>
      <c r="I10" s="252">
        <v>78.099999999999994</v>
      </c>
      <c r="J10" s="252">
        <v>96</v>
      </c>
      <c r="K10" s="252">
        <v>77.8</v>
      </c>
      <c r="L10" s="252">
        <v>74.400000000000006</v>
      </c>
      <c r="M10" s="252">
        <v>45.4</v>
      </c>
      <c r="N10" s="251">
        <v>29</v>
      </c>
      <c r="P10" s="239"/>
      <c r="Q10" s="246">
        <v>90</v>
      </c>
      <c r="R10" s="252">
        <v>34.200000000000003</v>
      </c>
      <c r="S10" s="252">
        <v>51.1</v>
      </c>
      <c r="T10" s="252">
        <v>74.400000000000006</v>
      </c>
      <c r="U10" s="252">
        <v>85.7</v>
      </c>
      <c r="V10" s="252">
        <v>87</v>
      </c>
      <c r="W10" s="252">
        <v>75.599999999999994</v>
      </c>
      <c r="X10" s="252">
        <v>78.099999999999994</v>
      </c>
      <c r="Y10" s="252">
        <v>96</v>
      </c>
      <c r="Z10" s="252">
        <v>77.8</v>
      </c>
      <c r="AA10" s="252">
        <v>74.400000000000006</v>
      </c>
      <c r="AB10" s="252">
        <v>45.4</v>
      </c>
      <c r="AC10" s="251">
        <v>29</v>
      </c>
    </row>
    <row r="11" spans="1:29" ht="16.5" thickTop="1" thickBot="1" x14ac:dyDescent="0.3">
      <c r="A11" s="239"/>
      <c r="B11" s="357" t="s">
        <v>159</v>
      </c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9"/>
      <c r="P11" s="239"/>
      <c r="Q11" s="357" t="s">
        <v>159</v>
      </c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9"/>
    </row>
    <row r="12" spans="1:29" ht="15.75" thickBot="1" x14ac:dyDescent="0.3">
      <c r="A12" s="239">
        <v>15</v>
      </c>
      <c r="B12" s="247">
        <v>15</v>
      </c>
      <c r="C12" s="255">
        <v>26.8</v>
      </c>
      <c r="D12" s="255">
        <v>45.7</v>
      </c>
      <c r="E12" s="255">
        <v>82.6</v>
      </c>
      <c r="F12" s="255">
        <v>123.8</v>
      </c>
      <c r="G12" s="255">
        <v>155.5</v>
      </c>
      <c r="H12" s="255">
        <v>149.80000000000001</v>
      </c>
      <c r="I12" s="255">
        <v>148.80000000000001</v>
      </c>
      <c r="J12" s="255">
        <v>147.30000000000001</v>
      </c>
      <c r="K12" s="255">
        <v>97.2</v>
      </c>
      <c r="L12" s="255">
        <v>69.2</v>
      </c>
      <c r="M12" s="255">
        <v>33.799999999999997</v>
      </c>
      <c r="N12" s="256">
        <v>20.8</v>
      </c>
      <c r="P12" s="239">
        <v>15</v>
      </c>
      <c r="Q12" s="247">
        <v>15</v>
      </c>
      <c r="R12" s="255">
        <v>26.8</v>
      </c>
      <c r="S12" s="255">
        <v>45.7</v>
      </c>
      <c r="T12" s="255">
        <v>82.6</v>
      </c>
      <c r="U12" s="255">
        <v>123.8</v>
      </c>
      <c r="V12" s="255">
        <v>155.5</v>
      </c>
      <c r="W12" s="255">
        <v>149.80000000000001</v>
      </c>
      <c r="X12" s="255">
        <v>148.80000000000001</v>
      </c>
      <c r="Y12" s="255">
        <v>147.30000000000001</v>
      </c>
      <c r="Z12" s="255">
        <v>97.2</v>
      </c>
      <c r="AA12" s="255">
        <v>69.2</v>
      </c>
      <c r="AB12" s="255">
        <v>33.799999999999997</v>
      </c>
      <c r="AC12" s="256">
        <v>20.8</v>
      </c>
    </row>
    <row r="13" spans="1:29" ht="15.75" thickBot="1" x14ac:dyDescent="0.3">
      <c r="A13" s="239"/>
      <c r="B13" s="247">
        <v>30</v>
      </c>
      <c r="C13" s="255">
        <v>32</v>
      </c>
      <c r="D13" s="255">
        <v>52.4</v>
      </c>
      <c r="E13" s="255">
        <v>90</v>
      </c>
      <c r="F13" s="255">
        <v>128.19999999999999</v>
      </c>
      <c r="G13" s="255">
        <v>154.80000000000001</v>
      </c>
      <c r="H13" s="255">
        <v>146.9</v>
      </c>
      <c r="I13" s="255">
        <v>145.80000000000001</v>
      </c>
      <c r="J13" s="255">
        <v>151</v>
      </c>
      <c r="K13" s="255">
        <v>103</v>
      </c>
      <c r="L13" s="255">
        <v>78.900000000000006</v>
      </c>
      <c r="M13" s="255">
        <v>40.299999999999997</v>
      </c>
      <c r="N13" s="256">
        <v>25.3</v>
      </c>
      <c r="P13" s="239"/>
      <c r="Q13" s="247">
        <v>30</v>
      </c>
      <c r="R13" s="255">
        <v>32</v>
      </c>
      <c r="S13" s="255">
        <v>52.4</v>
      </c>
      <c r="T13" s="255">
        <v>90</v>
      </c>
      <c r="U13" s="255">
        <v>128.19999999999999</v>
      </c>
      <c r="V13" s="255">
        <v>154.80000000000001</v>
      </c>
      <c r="W13" s="255">
        <v>146.9</v>
      </c>
      <c r="X13" s="255">
        <v>145.80000000000001</v>
      </c>
      <c r="Y13" s="255">
        <v>151</v>
      </c>
      <c r="Z13" s="255">
        <v>103</v>
      </c>
      <c r="AA13" s="255">
        <v>78.900000000000006</v>
      </c>
      <c r="AB13" s="255">
        <v>40.299999999999997</v>
      </c>
      <c r="AC13" s="256">
        <v>25.3</v>
      </c>
    </row>
    <row r="14" spans="1:29" ht="15.75" thickBot="1" x14ac:dyDescent="0.3">
      <c r="A14" s="239"/>
      <c r="B14" s="247">
        <v>45</v>
      </c>
      <c r="C14" s="255">
        <v>35</v>
      </c>
      <c r="D14" s="255">
        <v>55.8</v>
      </c>
      <c r="E14" s="255">
        <v>92.3</v>
      </c>
      <c r="F14" s="255">
        <v>126</v>
      </c>
      <c r="G14" s="255">
        <v>146.6</v>
      </c>
      <c r="H14" s="255">
        <v>136.80000000000001</v>
      </c>
      <c r="I14" s="255">
        <v>136.9</v>
      </c>
      <c r="J14" s="255">
        <v>147.30000000000001</v>
      </c>
      <c r="K14" s="255">
        <v>103.7</v>
      </c>
      <c r="L14" s="255">
        <v>84.1</v>
      </c>
      <c r="M14" s="255">
        <v>44.6</v>
      </c>
      <c r="N14" s="256">
        <v>28.3</v>
      </c>
      <c r="P14" s="239"/>
      <c r="Q14" s="247">
        <v>45</v>
      </c>
      <c r="R14" s="255">
        <v>35</v>
      </c>
      <c r="S14" s="255">
        <v>55.8</v>
      </c>
      <c r="T14" s="255">
        <v>92.3</v>
      </c>
      <c r="U14" s="255">
        <v>126</v>
      </c>
      <c r="V14" s="255">
        <v>146.6</v>
      </c>
      <c r="W14" s="255">
        <v>136.80000000000001</v>
      </c>
      <c r="X14" s="255">
        <v>136.9</v>
      </c>
      <c r="Y14" s="255">
        <v>147.30000000000001</v>
      </c>
      <c r="Z14" s="255">
        <v>103.7</v>
      </c>
      <c r="AA14" s="255">
        <v>84.1</v>
      </c>
      <c r="AB14" s="255">
        <v>44.6</v>
      </c>
      <c r="AC14" s="256">
        <v>28.3</v>
      </c>
    </row>
    <row r="15" spans="1:29" ht="15.75" thickBot="1" x14ac:dyDescent="0.3">
      <c r="A15" s="239"/>
      <c r="B15" s="247">
        <v>60</v>
      </c>
      <c r="C15" s="255">
        <v>36.5</v>
      </c>
      <c r="D15" s="255">
        <v>56.4</v>
      </c>
      <c r="E15" s="255">
        <v>90</v>
      </c>
      <c r="F15" s="255">
        <v>118.1</v>
      </c>
      <c r="G15" s="255">
        <v>132.4</v>
      </c>
      <c r="H15" s="255">
        <v>121.7</v>
      </c>
      <c r="I15" s="255">
        <v>122</v>
      </c>
      <c r="J15" s="255">
        <v>136.19999999999999</v>
      </c>
      <c r="K15" s="255">
        <v>98.6</v>
      </c>
      <c r="L15" s="255">
        <v>84.1</v>
      </c>
      <c r="M15" s="255">
        <v>46.8</v>
      </c>
      <c r="N15" s="256">
        <v>30.5</v>
      </c>
      <c r="P15" s="239"/>
      <c r="Q15" s="247">
        <v>60</v>
      </c>
      <c r="R15" s="255">
        <v>36.5</v>
      </c>
      <c r="S15" s="255">
        <v>56.4</v>
      </c>
      <c r="T15" s="255">
        <v>90</v>
      </c>
      <c r="U15" s="255">
        <v>118.1</v>
      </c>
      <c r="V15" s="255">
        <v>132.4</v>
      </c>
      <c r="W15" s="255">
        <v>121.7</v>
      </c>
      <c r="X15" s="255">
        <v>122</v>
      </c>
      <c r="Y15" s="255">
        <v>136.19999999999999</v>
      </c>
      <c r="Z15" s="255">
        <v>98.6</v>
      </c>
      <c r="AA15" s="255">
        <v>84.1</v>
      </c>
      <c r="AB15" s="255">
        <v>46.8</v>
      </c>
      <c r="AC15" s="256">
        <v>30.5</v>
      </c>
    </row>
    <row r="16" spans="1:29" ht="15.75" thickBot="1" x14ac:dyDescent="0.3">
      <c r="A16" s="239"/>
      <c r="B16" s="247">
        <v>75</v>
      </c>
      <c r="C16" s="255">
        <v>35.700000000000003</v>
      </c>
      <c r="D16" s="255">
        <v>54.4</v>
      </c>
      <c r="E16" s="255">
        <v>83.3</v>
      </c>
      <c r="F16" s="255">
        <v>104.4</v>
      </c>
      <c r="G16" s="255">
        <v>112.3</v>
      </c>
      <c r="H16" s="255">
        <v>101.5</v>
      </c>
      <c r="I16" s="255">
        <v>101.9</v>
      </c>
      <c r="J16" s="255">
        <v>118.3</v>
      </c>
      <c r="K16" s="255">
        <v>89.3</v>
      </c>
      <c r="L16" s="255">
        <v>80.400000000000006</v>
      </c>
      <c r="M16" s="255">
        <v>46.8</v>
      </c>
      <c r="N16" s="256">
        <v>30.5</v>
      </c>
      <c r="P16" s="239"/>
      <c r="Q16" s="247">
        <v>75</v>
      </c>
      <c r="R16" s="255">
        <v>35.700000000000003</v>
      </c>
      <c r="S16" s="255">
        <v>54.4</v>
      </c>
      <c r="T16" s="255">
        <v>83.3</v>
      </c>
      <c r="U16" s="255">
        <v>104.4</v>
      </c>
      <c r="V16" s="255">
        <v>112.3</v>
      </c>
      <c r="W16" s="255">
        <v>101.5</v>
      </c>
      <c r="X16" s="255">
        <v>101.9</v>
      </c>
      <c r="Y16" s="255">
        <v>118.3</v>
      </c>
      <c r="Z16" s="255">
        <v>89.3</v>
      </c>
      <c r="AA16" s="255">
        <v>80.400000000000006</v>
      </c>
      <c r="AB16" s="255">
        <v>46.8</v>
      </c>
      <c r="AC16" s="256">
        <v>30.5</v>
      </c>
    </row>
    <row r="17" spans="1:29" ht="15.75" thickBot="1" x14ac:dyDescent="0.3">
      <c r="A17" s="239"/>
      <c r="B17" s="246">
        <v>90</v>
      </c>
      <c r="C17" s="252">
        <v>33.5</v>
      </c>
      <c r="D17" s="252">
        <v>49.7</v>
      </c>
      <c r="E17" s="252">
        <v>72.900000000000006</v>
      </c>
      <c r="F17" s="252">
        <v>86.4</v>
      </c>
      <c r="G17" s="252">
        <v>88.5</v>
      </c>
      <c r="H17" s="252">
        <v>77.8</v>
      </c>
      <c r="I17" s="252">
        <v>79.599999999999994</v>
      </c>
      <c r="J17" s="252">
        <v>96.7</v>
      </c>
      <c r="K17" s="252">
        <v>75.599999999999994</v>
      </c>
      <c r="L17" s="252">
        <v>72.2</v>
      </c>
      <c r="M17" s="252">
        <v>43.2</v>
      </c>
      <c r="N17" s="251">
        <v>29</v>
      </c>
      <c r="P17" s="239"/>
      <c r="Q17" s="246">
        <v>90</v>
      </c>
      <c r="R17" s="252">
        <v>33.5</v>
      </c>
      <c r="S17" s="252">
        <v>49.7</v>
      </c>
      <c r="T17" s="252">
        <v>72.900000000000006</v>
      </c>
      <c r="U17" s="252">
        <v>86.4</v>
      </c>
      <c r="V17" s="252">
        <v>88.5</v>
      </c>
      <c r="W17" s="252">
        <v>77.8</v>
      </c>
      <c r="X17" s="252">
        <v>79.599999999999994</v>
      </c>
      <c r="Y17" s="252">
        <v>96.7</v>
      </c>
      <c r="Z17" s="252">
        <v>75.599999999999994</v>
      </c>
      <c r="AA17" s="252">
        <v>72.2</v>
      </c>
      <c r="AB17" s="252">
        <v>43.2</v>
      </c>
      <c r="AC17" s="251">
        <v>29</v>
      </c>
    </row>
    <row r="18" spans="1:29" ht="16.5" thickTop="1" thickBot="1" x14ac:dyDescent="0.3">
      <c r="A18" s="239"/>
      <c r="B18" s="357" t="s">
        <v>158</v>
      </c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9"/>
      <c r="P18" s="239"/>
      <c r="Q18" s="357" t="s">
        <v>158</v>
      </c>
      <c r="R18" s="358"/>
      <c r="S18" s="358"/>
      <c r="T18" s="358"/>
      <c r="U18" s="358"/>
      <c r="V18" s="358"/>
      <c r="W18" s="358"/>
      <c r="X18" s="358"/>
      <c r="Y18" s="358"/>
      <c r="Z18" s="358"/>
      <c r="AA18" s="358"/>
      <c r="AB18" s="358"/>
      <c r="AC18" s="359"/>
    </row>
    <row r="19" spans="1:29" ht="15.75" thickBot="1" x14ac:dyDescent="0.3">
      <c r="A19" s="239">
        <v>30</v>
      </c>
      <c r="B19" s="247">
        <v>15</v>
      </c>
      <c r="C19" s="255">
        <v>26</v>
      </c>
      <c r="D19" s="255">
        <v>45</v>
      </c>
      <c r="E19" s="255">
        <v>81.8</v>
      </c>
      <c r="F19" s="255">
        <v>123.1</v>
      </c>
      <c r="G19" s="255">
        <v>154.80000000000001</v>
      </c>
      <c r="H19" s="255">
        <v>149.80000000000001</v>
      </c>
      <c r="I19" s="255">
        <v>148.1</v>
      </c>
      <c r="J19" s="255">
        <v>145.80000000000001</v>
      </c>
      <c r="K19" s="255">
        <v>95.8</v>
      </c>
      <c r="L19" s="255">
        <v>67.7</v>
      </c>
      <c r="M19" s="255">
        <v>32.4</v>
      </c>
      <c r="N19" s="256">
        <v>20.100000000000001</v>
      </c>
      <c r="P19" s="239">
        <v>30</v>
      </c>
      <c r="Q19" s="247">
        <v>15</v>
      </c>
      <c r="R19" s="255">
        <v>26</v>
      </c>
      <c r="S19" s="255">
        <v>45</v>
      </c>
      <c r="T19" s="255">
        <v>81.8</v>
      </c>
      <c r="U19" s="255">
        <v>123.1</v>
      </c>
      <c r="V19" s="255">
        <v>154.80000000000001</v>
      </c>
      <c r="W19" s="255">
        <v>149.80000000000001</v>
      </c>
      <c r="X19" s="255">
        <v>148.1</v>
      </c>
      <c r="Y19" s="255">
        <v>145.80000000000001</v>
      </c>
      <c r="Z19" s="255">
        <v>95.8</v>
      </c>
      <c r="AA19" s="255">
        <v>67.7</v>
      </c>
      <c r="AB19" s="255">
        <v>32.4</v>
      </c>
      <c r="AC19" s="256">
        <v>20.100000000000001</v>
      </c>
    </row>
    <row r="20" spans="1:29" ht="15.75" thickBot="1" x14ac:dyDescent="0.3">
      <c r="A20" s="239"/>
      <c r="B20" s="247">
        <v>30</v>
      </c>
      <c r="C20" s="255">
        <v>30.5</v>
      </c>
      <c r="D20" s="255">
        <v>50.4</v>
      </c>
      <c r="E20" s="255">
        <v>87.8</v>
      </c>
      <c r="F20" s="255">
        <v>126.7</v>
      </c>
      <c r="G20" s="255">
        <v>153.30000000000001</v>
      </c>
      <c r="H20" s="255">
        <v>146.9</v>
      </c>
      <c r="I20" s="255">
        <v>145.1</v>
      </c>
      <c r="J20" s="255">
        <v>148.80000000000001</v>
      </c>
      <c r="K20" s="255">
        <v>100.1</v>
      </c>
      <c r="L20" s="255">
        <v>75.900000000000006</v>
      </c>
      <c r="M20" s="255">
        <v>38.200000000000003</v>
      </c>
      <c r="N20" s="256">
        <v>23.8</v>
      </c>
      <c r="P20" s="239"/>
      <c r="Q20" s="247">
        <v>30</v>
      </c>
      <c r="R20" s="255">
        <v>30.5</v>
      </c>
      <c r="S20" s="255">
        <v>50.4</v>
      </c>
      <c r="T20" s="255">
        <v>87.8</v>
      </c>
      <c r="U20" s="255">
        <v>126.7</v>
      </c>
      <c r="V20" s="255">
        <v>153.30000000000001</v>
      </c>
      <c r="W20" s="255">
        <v>146.9</v>
      </c>
      <c r="X20" s="255">
        <v>145.1</v>
      </c>
      <c r="Y20" s="255">
        <v>148.80000000000001</v>
      </c>
      <c r="Z20" s="255">
        <v>100.1</v>
      </c>
      <c r="AA20" s="255">
        <v>75.900000000000006</v>
      </c>
      <c r="AB20" s="255">
        <v>38.200000000000003</v>
      </c>
      <c r="AC20" s="256">
        <v>23.8</v>
      </c>
    </row>
    <row r="21" spans="1:29" ht="15.75" thickBot="1" x14ac:dyDescent="0.3">
      <c r="A21" s="239"/>
      <c r="B21" s="247">
        <v>45</v>
      </c>
      <c r="C21" s="255">
        <v>32.700000000000003</v>
      </c>
      <c r="D21" s="255">
        <v>53.1</v>
      </c>
      <c r="E21" s="255">
        <v>89.3</v>
      </c>
      <c r="F21" s="255">
        <v>124.6</v>
      </c>
      <c r="G21" s="255">
        <v>145.80000000000001</v>
      </c>
      <c r="H21" s="255">
        <v>137.5</v>
      </c>
      <c r="I21" s="255">
        <v>136.9</v>
      </c>
      <c r="J21" s="255">
        <v>144.30000000000001</v>
      </c>
      <c r="K21" s="255">
        <v>99.4</v>
      </c>
      <c r="L21" s="255">
        <v>79.599999999999994</v>
      </c>
      <c r="M21" s="255">
        <v>42.5</v>
      </c>
      <c r="N21" s="256">
        <v>26.8</v>
      </c>
      <c r="P21" s="239"/>
      <c r="Q21" s="247">
        <v>45</v>
      </c>
      <c r="R21" s="255">
        <v>32.700000000000003</v>
      </c>
      <c r="S21" s="255">
        <v>53.1</v>
      </c>
      <c r="T21" s="255">
        <v>89.3</v>
      </c>
      <c r="U21" s="255">
        <v>124.6</v>
      </c>
      <c r="V21" s="255">
        <v>145.80000000000001</v>
      </c>
      <c r="W21" s="255">
        <v>137.5</v>
      </c>
      <c r="X21" s="255">
        <v>136.9</v>
      </c>
      <c r="Y21" s="255">
        <v>144.30000000000001</v>
      </c>
      <c r="Z21" s="255">
        <v>99.4</v>
      </c>
      <c r="AA21" s="255">
        <v>79.599999999999994</v>
      </c>
      <c r="AB21" s="255">
        <v>42.5</v>
      </c>
      <c r="AC21" s="256">
        <v>26.8</v>
      </c>
    </row>
    <row r="22" spans="1:29" ht="15.75" thickBot="1" x14ac:dyDescent="0.3">
      <c r="A22" s="239"/>
      <c r="B22" s="247">
        <v>60</v>
      </c>
      <c r="C22" s="255">
        <v>34.200000000000003</v>
      </c>
      <c r="D22" s="255">
        <v>53.1</v>
      </c>
      <c r="E22" s="255">
        <v>86.3</v>
      </c>
      <c r="F22" s="255">
        <v>116.6</v>
      </c>
      <c r="G22" s="255">
        <v>131.69999999999999</v>
      </c>
      <c r="H22" s="255">
        <v>123.1</v>
      </c>
      <c r="I22" s="255">
        <v>122.8</v>
      </c>
      <c r="J22" s="255">
        <v>133.9</v>
      </c>
      <c r="K22" s="255">
        <v>95</v>
      </c>
      <c r="L22" s="255">
        <v>79.599999999999994</v>
      </c>
      <c r="M22" s="255">
        <v>43.9</v>
      </c>
      <c r="N22" s="256">
        <v>28.3</v>
      </c>
      <c r="P22" s="239"/>
      <c r="Q22" s="247">
        <v>60</v>
      </c>
      <c r="R22" s="255">
        <v>34.200000000000003</v>
      </c>
      <c r="S22" s="255">
        <v>53.1</v>
      </c>
      <c r="T22" s="255">
        <v>86.3</v>
      </c>
      <c r="U22" s="255">
        <v>116.6</v>
      </c>
      <c r="V22" s="255">
        <v>131.69999999999999</v>
      </c>
      <c r="W22" s="255">
        <v>123.1</v>
      </c>
      <c r="X22" s="255">
        <v>122.8</v>
      </c>
      <c r="Y22" s="255">
        <v>133.9</v>
      </c>
      <c r="Z22" s="255">
        <v>95</v>
      </c>
      <c r="AA22" s="255">
        <v>79.599999999999994</v>
      </c>
      <c r="AB22" s="255">
        <v>43.9</v>
      </c>
      <c r="AC22" s="256">
        <v>28.3</v>
      </c>
    </row>
    <row r="23" spans="1:29" ht="15.75" thickBot="1" x14ac:dyDescent="0.3">
      <c r="A23" s="239"/>
      <c r="B23" s="247">
        <v>75</v>
      </c>
      <c r="C23" s="255">
        <v>33.5</v>
      </c>
      <c r="D23" s="255">
        <v>51.1</v>
      </c>
      <c r="E23" s="255">
        <v>79.599999999999994</v>
      </c>
      <c r="F23" s="255">
        <v>103.7</v>
      </c>
      <c r="G23" s="255">
        <v>113.1</v>
      </c>
      <c r="H23" s="255">
        <v>104.4</v>
      </c>
      <c r="I23" s="255">
        <v>104.2</v>
      </c>
      <c r="J23" s="255">
        <v>116.8</v>
      </c>
      <c r="K23" s="255">
        <v>85.7</v>
      </c>
      <c r="L23" s="255">
        <v>75.099999999999994</v>
      </c>
      <c r="M23" s="255">
        <v>42.5</v>
      </c>
      <c r="N23" s="256">
        <v>28.3</v>
      </c>
      <c r="P23" s="239"/>
      <c r="Q23" s="247">
        <v>75</v>
      </c>
      <c r="R23" s="255">
        <v>33.5</v>
      </c>
      <c r="S23" s="255">
        <v>51.1</v>
      </c>
      <c r="T23" s="255">
        <v>79.599999999999994</v>
      </c>
      <c r="U23" s="255">
        <v>103.7</v>
      </c>
      <c r="V23" s="255">
        <v>113.1</v>
      </c>
      <c r="W23" s="255">
        <v>104.4</v>
      </c>
      <c r="X23" s="255">
        <v>104.2</v>
      </c>
      <c r="Y23" s="255">
        <v>116.8</v>
      </c>
      <c r="Z23" s="255">
        <v>85.7</v>
      </c>
      <c r="AA23" s="255">
        <v>75.099999999999994</v>
      </c>
      <c r="AB23" s="255">
        <v>42.5</v>
      </c>
      <c r="AC23" s="256">
        <v>28.3</v>
      </c>
    </row>
    <row r="24" spans="1:29" ht="15.75" thickBot="1" x14ac:dyDescent="0.3">
      <c r="A24" s="239"/>
      <c r="B24" s="246">
        <v>90</v>
      </c>
      <c r="C24" s="252">
        <v>30.5</v>
      </c>
      <c r="D24" s="252">
        <v>45.7</v>
      </c>
      <c r="E24" s="252">
        <v>69.2</v>
      </c>
      <c r="F24" s="252">
        <v>87.1</v>
      </c>
      <c r="G24" s="252">
        <v>90.8</v>
      </c>
      <c r="H24" s="252">
        <v>82.8</v>
      </c>
      <c r="I24" s="252">
        <v>82.6</v>
      </c>
      <c r="J24" s="252">
        <v>96</v>
      </c>
      <c r="K24" s="252">
        <v>72.7</v>
      </c>
      <c r="L24" s="252">
        <v>67</v>
      </c>
      <c r="M24" s="252">
        <v>39.6</v>
      </c>
      <c r="N24" s="251">
        <v>26.8</v>
      </c>
      <c r="P24" s="239"/>
      <c r="Q24" s="246">
        <v>90</v>
      </c>
      <c r="R24" s="252">
        <v>30.5</v>
      </c>
      <c r="S24" s="252">
        <v>45.7</v>
      </c>
      <c r="T24" s="252">
        <v>69.2</v>
      </c>
      <c r="U24" s="252">
        <v>87.1</v>
      </c>
      <c r="V24" s="252">
        <v>90.8</v>
      </c>
      <c r="W24" s="252">
        <v>82.8</v>
      </c>
      <c r="X24" s="252">
        <v>82.6</v>
      </c>
      <c r="Y24" s="252">
        <v>96</v>
      </c>
      <c r="Z24" s="252">
        <v>72.7</v>
      </c>
      <c r="AA24" s="252">
        <v>67</v>
      </c>
      <c r="AB24" s="252">
        <v>39.6</v>
      </c>
      <c r="AC24" s="251">
        <v>26.8</v>
      </c>
    </row>
    <row r="25" spans="1:29" ht="16.5" thickTop="1" thickBot="1" x14ac:dyDescent="0.3">
      <c r="A25" s="239"/>
      <c r="B25" s="357" t="s">
        <v>157</v>
      </c>
      <c r="C25" s="358"/>
      <c r="D25" s="358"/>
      <c r="E25" s="358"/>
      <c r="F25" s="358"/>
      <c r="G25" s="358"/>
      <c r="H25" s="358"/>
      <c r="I25" s="358"/>
      <c r="J25" s="358"/>
      <c r="K25" s="358"/>
      <c r="L25" s="358"/>
      <c r="M25" s="358"/>
      <c r="N25" s="359"/>
      <c r="P25" s="239"/>
      <c r="Q25" s="357" t="s">
        <v>157</v>
      </c>
      <c r="R25" s="358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9"/>
    </row>
    <row r="26" spans="1:29" ht="15.75" thickBot="1" x14ac:dyDescent="0.3">
      <c r="A26" s="239">
        <v>45</v>
      </c>
      <c r="B26" s="247">
        <v>15</v>
      </c>
      <c r="C26" s="255">
        <v>25.3</v>
      </c>
      <c r="D26" s="255">
        <v>43</v>
      </c>
      <c r="E26" s="255">
        <v>79.599999999999994</v>
      </c>
      <c r="F26" s="255">
        <v>121</v>
      </c>
      <c r="G26" s="255">
        <v>153.30000000000001</v>
      </c>
      <c r="H26" s="255">
        <v>149</v>
      </c>
      <c r="I26" s="255">
        <v>146.6</v>
      </c>
      <c r="J26" s="255">
        <v>143.6</v>
      </c>
      <c r="K26" s="255">
        <v>93.6</v>
      </c>
      <c r="L26" s="255">
        <v>65.5</v>
      </c>
      <c r="M26" s="255">
        <v>31</v>
      </c>
      <c r="N26" s="256">
        <v>19.3</v>
      </c>
      <c r="P26" s="239">
        <v>45</v>
      </c>
      <c r="Q26" s="247">
        <v>15</v>
      </c>
      <c r="R26" s="255">
        <v>25.3</v>
      </c>
      <c r="S26" s="255">
        <v>43</v>
      </c>
      <c r="T26" s="255">
        <v>79.599999999999994</v>
      </c>
      <c r="U26" s="255">
        <v>121</v>
      </c>
      <c r="V26" s="255">
        <v>153.30000000000001</v>
      </c>
      <c r="W26" s="255">
        <v>149</v>
      </c>
      <c r="X26" s="255">
        <v>146.6</v>
      </c>
      <c r="Y26" s="255">
        <v>143.6</v>
      </c>
      <c r="Z26" s="255">
        <v>93.6</v>
      </c>
      <c r="AA26" s="255">
        <v>65.5</v>
      </c>
      <c r="AB26" s="255">
        <v>31</v>
      </c>
      <c r="AC26" s="256">
        <v>19.3</v>
      </c>
    </row>
    <row r="27" spans="1:29" ht="15.75" thickBot="1" x14ac:dyDescent="0.3">
      <c r="A27" s="239"/>
      <c r="B27" s="247">
        <v>30</v>
      </c>
      <c r="C27" s="255">
        <v>28.3</v>
      </c>
      <c r="D27" s="255">
        <v>47</v>
      </c>
      <c r="E27" s="255">
        <v>84.1</v>
      </c>
      <c r="F27" s="255">
        <v>123.1</v>
      </c>
      <c r="G27" s="255">
        <v>151</v>
      </c>
      <c r="H27" s="255">
        <v>146.19999999999999</v>
      </c>
      <c r="I27" s="255">
        <v>143.6</v>
      </c>
      <c r="J27" s="255">
        <v>145.1</v>
      </c>
      <c r="K27" s="255">
        <v>96.5</v>
      </c>
      <c r="L27" s="255">
        <v>71.400000000000006</v>
      </c>
      <c r="M27" s="255">
        <v>35.299999999999997</v>
      </c>
      <c r="N27" s="256">
        <v>22.3</v>
      </c>
      <c r="P27" s="239"/>
      <c r="Q27" s="247">
        <v>30</v>
      </c>
      <c r="R27" s="255">
        <v>28.3</v>
      </c>
      <c r="S27" s="255">
        <v>47</v>
      </c>
      <c r="T27" s="255">
        <v>84.1</v>
      </c>
      <c r="U27" s="255">
        <v>123.1</v>
      </c>
      <c r="V27" s="255">
        <v>151</v>
      </c>
      <c r="W27" s="255">
        <v>146.19999999999999</v>
      </c>
      <c r="X27" s="255">
        <v>143.6</v>
      </c>
      <c r="Y27" s="255">
        <v>145.1</v>
      </c>
      <c r="Z27" s="255">
        <v>96.5</v>
      </c>
      <c r="AA27" s="255">
        <v>71.400000000000006</v>
      </c>
      <c r="AB27" s="255">
        <v>35.299999999999997</v>
      </c>
      <c r="AC27" s="256">
        <v>22.3</v>
      </c>
    </row>
    <row r="28" spans="1:29" ht="15.75" thickBot="1" x14ac:dyDescent="0.3">
      <c r="A28" s="239"/>
      <c r="B28" s="247">
        <v>45</v>
      </c>
      <c r="C28" s="255">
        <v>30.5</v>
      </c>
      <c r="D28" s="255">
        <v>49.1</v>
      </c>
      <c r="E28" s="255">
        <v>84.1</v>
      </c>
      <c r="F28" s="255">
        <v>121</v>
      </c>
      <c r="G28" s="255">
        <v>143.6</v>
      </c>
      <c r="H28" s="255">
        <v>138.19999999999999</v>
      </c>
      <c r="I28" s="255">
        <v>135.4</v>
      </c>
      <c r="J28" s="255">
        <v>139.9</v>
      </c>
      <c r="K28" s="255">
        <v>95</v>
      </c>
      <c r="L28" s="255">
        <v>73.7</v>
      </c>
      <c r="M28" s="255">
        <v>38.200000000000003</v>
      </c>
      <c r="N28" s="256">
        <v>24.6</v>
      </c>
      <c r="P28" s="239"/>
      <c r="Q28" s="247">
        <v>45</v>
      </c>
      <c r="R28" s="255">
        <v>30.5</v>
      </c>
      <c r="S28" s="255">
        <v>49.1</v>
      </c>
      <c r="T28" s="255">
        <v>84.1</v>
      </c>
      <c r="U28" s="255">
        <v>121</v>
      </c>
      <c r="V28" s="255">
        <v>143.6</v>
      </c>
      <c r="W28" s="255">
        <v>138.19999999999999</v>
      </c>
      <c r="X28" s="255">
        <v>135.4</v>
      </c>
      <c r="Y28" s="255">
        <v>139.9</v>
      </c>
      <c r="Z28" s="255">
        <v>95</v>
      </c>
      <c r="AA28" s="255">
        <v>73.7</v>
      </c>
      <c r="AB28" s="255">
        <v>38.200000000000003</v>
      </c>
      <c r="AC28" s="256">
        <v>24.6</v>
      </c>
    </row>
    <row r="29" spans="1:29" ht="15.75" thickBot="1" x14ac:dyDescent="0.3">
      <c r="A29" s="239"/>
      <c r="B29" s="247">
        <v>60</v>
      </c>
      <c r="C29" s="255">
        <v>30.5</v>
      </c>
      <c r="D29" s="255">
        <v>49.1</v>
      </c>
      <c r="E29" s="255">
        <v>81.099999999999994</v>
      </c>
      <c r="F29" s="255">
        <v>113</v>
      </c>
      <c r="G29" s="255">
        <v>130.19999999999999</v>
      </c>
      <c r="H29" s="255">
        <v>124.6</v>
      </c>
      <c r="I29" s="255">
        <v>122</v>
      </c>
      <c r="J29" s="255">
        <v>129.5</v>
      </c>
      <c r="K29" s="255">
        <v>89.3</v>
      </c>
      <c r="L29" s="255">
        <v>72.900000000000006</v>
      </c>
      <c r="M29" s="255">
        <v>38.9</v>
      </c>
      <c r="N29" s="256">
        <v>25.3</v>
      </c>
      <c r="P29" s="239"/>
      <c r="Q29" s="247">
        <v>60</v>
      </c>
      <c r="R29" s="255">
        <v>30.5</v>
      </c>
      <c r="S29" s="255">
        <v>49.1</v>
      </c>
      <c r="T29" s="255">
        <v>81.099999999999994</v>
      </c>
      <c r="U29" s="255">
        <v>113</v>
      </c>
      <c r="V29" s="255">
        <v>130.19999999999999</v>
      </c>
      <c r="W29" s="255">
        <v>124.6</v>
      </c>
      <c r="X29" s="255">
        <v>122</v>
      </c>
      <c r="Y29" s="255">
        <v>129.5</v>
      </c>
      <c r="Z29" s="255">
        <v>89.3</v>
      </c>
      <c r="AA29" s="255">
        <v>72.900000000000006</v>
      </c>
      <c r="AB29" s="255">
        <v>38.9</v>
      </c>
      <c r="AC29" s="256">
        <v>25.3</v>
      </c>
    </row>
    <row r="30" spans="1:29" ht="15.75" thickBot="1" x14ac:dyDescent="0.3">
      <c r="A30" s="239"/>
      <c r="B30" s="247">
        <v>75</v>
      </c>
      <c r="C30" s="255">
        <v>29</v>
      </c>
      <c r="D30" s="255">
        <v>45.7</v>
      </c>
      <c r="E30" s="255">
        <v>74.400000000000006</v>
      </c>
      <c r="F30" s="255">
        <v>101.5</v>
      </c>
      <c r="G30" s="255">
        <v>113.1</v>
      </c>
      <c r="H30" s="255">
        <v>107.3</v>
      </c>
      <c r="I30" s="255">
        <v>105.6</v>
      </c>
      <c r="J30" s="255">
        <v>113.8</v>
      </c>
      <c r="K30" s="255">
        <v>80.599999999999994</v>
      </c>
      <c r="L30" s="255">
        <v>68.400000000000006</v>
      </c>
      <c r="M30" s="255">
        <v>37.4</v>
      </c>
      <c r="N30" s="256">
        <v>25.3</v>
      </c>
      <c r="P30" s="239"/>
      <c r="Q30" s="247">
        <v>75</v>
      </c>
      <c r="R30" s="255">
        <v>29</v>
      </c>
      <c r="S30" s="255">
        <v>45.7</v>
      </c>
      <c r="T30" s="255">
        <v>74.400000000000006</v>
      </c>
      <c r="U30" s="255">
        <v>101.5</v>
      </c>
      <c r="V30" s="255">
        <v>113.1</v>
      </c>
      <c r="W30" s="255">
        <v>107.3</v>
      </c>
      <c r="X30" s="255">
        <v>105.6</v>
      </c>
      <c r="Y30" s="255">
        <v>113.8</v>
      </c>
      <c r="Z30" s="255">
        <v>80.599999999999994</v>
      </c>
      <c r="AA30" s="255">
        <v>68.400000000000006</v>
      </c>
      <c r="AB30" s="255">
        <v>37.4</v>
      </c>
      <c r="AC30" s="256">
        <v>25.3</v>
      </c>
    </row>
    <row r="31" spans="1:29" ht="15.75" thickBot="1" x14ac:dyDescent="0.3">
      <c r="A31" s="239"/>
      <c r="B31" s="246">
        <v>90</v>
      </c>
      <c r="C31" s="252">
        <v>26.8</v>
      </c>
      <c r="D31" s="252">
        <v>41</v>
      </c>
      <c r="E31" s="252">
        <v>64.7</v>
      </c>
      <c r="F31" s="252">
        <v>86.4</v>
      </c>
      <c r="G31" s="252">
        <v>92.3</v>
      </c>
      <c r="H31" s="252">
        <v>87.8</v>
      </c>
      <c r="I31" s="252">
        <v>85.6</v>
      </c>
      <c r="J31" s="252">
        <v>94.5</v>
      </c>
      <c r="K31" s="252">
        <v>69.099999999999994</v>
      </c>
      <c r="L31" s="252">
        <v>60.3</v>
      </c>
      <c r="M31" s="252">
        <v>33.799999999999997</v>
      </c>
      <c r="N31" s="251">
        <v>23.1</v>
      </c>
      <c r="P31" s="239"/>
      <c r="Q31" s="246">
        <v>90</v>
      </c>
      <c r="R31" s="252">
        <v>26.8</v>
      </c>
      <c r="S31" s="252">
        <v>41</v>
      </c>
      <c r="T31" s="252">
        <v>64.7</v>
      </c>
      <c r="U31" s="252">
        <v>86.4</v>
      </c>
      <c r="V31" s="252">
        <v>92.3</v>
      </c>
      <c r="W31" s="252">
        <v>87.8</v>
      </c>
      <c r="X31" s="252">
        <v>85.6</v>
      </c>
      <c r="Y31" s="252">
        <v>94.5</v>
      </c>
      <c r="Z31" s="252">
        <v>69.099999999999994</v>
      </c>
      <c r="AA31" s="252">
        <v>60.3</v>
      </c>
      <c r="AB31" s="252">
        <v>33.799999999999997</v>
      </c>
      <c r="AC31" s="251">
        <v>23.1</v>
      </c>
    </row>
    <row r="32" spans="1:29" ht="16.5" thickTop="1" thickBot="1" x14ac:dyDescent="0.3">
      <c r="A32" s="239"/>
      <c r="B32" s="357" t="s">
        <v>156</v>
      </c>
      <c r="C32" s="35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9"/>
      <c r="P32" s="239"/>
      <c r="Q32" s="357" t="s">
        <v>156</v>
      </c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9"/>
    </row>
    <row r="33" spans="1:29" ht="15.75" thickBot="1" x14ac:dyDescent="0.3">
      <c r="A33" s="239">
        <v>60</v>
      </c>
      <c r="B33" s="247">
        <v>15</v>
      </c>
      <c r="C33" s="255">
        <v>23.8</v>
      </c>
      <c r="D33" s="255">
        <v>41</v>
      </c>
      <c r="E33" s="255">
        <v>77.400000000000006</v>
      </c>
      <c r="F33" s="255">
        <v>118.1</v>
      </c>
      <c r="G33" s="255">
        <v>151</v>
      </c>
      <c r="H33" s="255">
        <v>148.30000000000001</v>
      </c>
      <c r="I33" s="255">
        <v>145.80000000000001</v>
      </c>
      <c r="J33" s="255">
        <v>140.6</v>
      </c>
      <c r="K33" s="255">
        <v>90.7</v>
      </c>
      <c r="L33" s="255">
        <v>62.5</v>
      </c>
      <c r="M33" s="255">
        <v>28.8</v>
      </c>
      <c r="N33" s="255">
        <v>17.899999999999999</v>
      </c>
      <c r="P33" s="239">
        <v>60</v>
      </c>
      <c r="Q33" s="247">
        <v>15</v>
      </c>
      <c r="R33" s="255">
        <v>23.8</v>
      </c>
      <c r="S33" s="255">
        <v>41</v>
      </c>
      <c r="T33" s="255">
        <v>77.400000000000006</v>
      </c>
      <c r="U33" s="255">
        <v>118.1</v>
      </c>
      <c r="V33" s="255">
        <v>151</v>
      </c>
      <c r="W33" s="255">
        <v>148.30000000000001</v>
      </c>
      <c r="X33" s="255">
        <v>145.80000000000001</v>
      </c>
      <c r="Y33" s="255">
        <v>140.6</v>
      </c>
      <c r="Z33" s="255">
        <v>90.7</v>
      </c>
      <c r="AA33" s="255">
        <v>62.5</v>
      </c>
      <c r="AB33" s="255">
        <v>28.8</v>
      </c>
      <c r="AC33" s="255">
        <v>17.899999999999999</v>
      </c>
    </row>
    <row r="34" spans="1:29" ht="15.75" thickBot="1" x14ac:dyDescent="0.3">
      <c r="A34" s="239"/>
      <c r="B34" s="247">
        <v>30</v>
      </c>
      <c r="C34" s="255">
        <v>24.9</v>
      </c>
      <c r="D34" s="255">
        <v>43.7</v>
      </c>
      <c r="E34" s="255">
        <v>78.900000000000006</v>
      </c>
      <c r="F34" s="255">
        <v>118.8</v>
      </c>
      <c r="G34" s="255">
        <v>148.1</v>
      </c>
      <c r="H34" s="255">
        <v>144.69999999999999</v>
      </c>
      <c r="I34" s="255">
        <v>142.1</v>
      </c>
      <c r="J34" s="255">
        <v>139.9</v>
      </c>
      <c r="K34" s="255">
        <v>91.4</v>
      </c>
      <c r="L34" s="255">
        <v>66.2</v>
      </c>
      <c r="M34" s="255">
        <v>31.7</v>
      </c>
      <c r="N34" s="255">
        <v>20.100000000000001</v>
      </c>
      <c r="P34" s="239"/>
      <c r="Q34" s="247">
        <v>30</v>
      </c>
      <c r="R34" s="255">
        <v>24.9</v>
      </c>
      <c r="S34" s="255">
        <v>43.7</v>
      </c>
      <c r="T34" s="255">
        <v>78.900000000000006</v>
      </c>
      <c r="U34" s="255">
        <v>118.8</v>
      </c>
      <c r="V34" s="255">
        <v>148.1</v>
      </c>
      <c r="W34" s="255">
        <v>144.69999999999999</v>
      </c>
      <c r="X34" s="255">
        <v>142.1</v>
      </c>
      <c r="Y34" s="255">
        <v>139.9</v>
      </c>
      <c r="Z34" s="255">
        <v>91.4</v>
      </c>
      <c r="AA34" s="255">
        <v>66.2</v>
      </c>
      <c r="AB34" s="255">
        <v>31.7</v>
      </c>
      <c r="AC34" s="255">
        <v>20.100000000000001</v>
      </c>
    </row>
    <row r="35" spans="1:29" ht="15.75" thickBot="1" x14ac:dyDescent="0.3">
      <c r="A35" s="239"/>
      <c r="B35" s="247">
        <v>45</v>
      </c>
      <c r="C35" s="255">
        <v>26.8</v>
      </c>
      <c r="D35" s="255">
        <v>44.4</v>
      </c>
      <c r="E35" s="255">
        <v>78.099999999999994</v>
      </c>
      <c r="F35" s="255">
        <v>115.9</v>
      </c>
      <c r="G35" s="255">
        <v>139.9</v>
      </c>
      <c r="H35" s="255">
        <v>136.80000000000001</v>
      </c>
      <c r="I35" s="255">
        <v>133.19999999999999</v>
      </c>
      <c r="J35" s="255">
        <v>133.9</v>
      </c>
      <c r="K35" s="255">
        <v>89.3</v>
      </c>
      <c r="L35" s="255">
        <v>67</v>
      </c>
      <c r="M35" s="255">
        <v>33.1</v>
      </c>
      <c r="N35" s="255">
        <v>21.6</v>
      </c>
      <c r="P35" s="239"/>
      <c r="Q35" s="247">
        <v>45</v>
      </c>
      <c r="R35" s="255">
        <v>26.8</v>
      </c>
      <c r="S35" s="255">
        <v>44.4</v>
      </c>
      <c r="T35" s="255">
        <v>78.099999999999994</v>
      </c>
      <c r="U35" s="255">
        <v>115.9</v>
      </c>
      <c r="V35" s="255">
        <v>139.9</v>
      </c>
      <c r="W35" s="255">
        <v>136.80000000000001</v>
      </c>
      <c r="X35" s="255">
        <v>133.19999999999999</v>
      </c>
      <c r="Y35" s="255">
        <v>133.9</v>
      </c>
      <c r="Z35" s="255">
        <v>89.3</v>
      </c>
      <c r="AA35" s="255">
        <v>67</v>
      </c>
      <c r="AB35" s="255">
        <v>33.1</v>
      </c>
      <c r="AC35" s="255">
        <v>21.6</v>
      </c>
    </row>
    <row r="36" spans="1:29" ht="15.75" thickBot="1" x14ac:dyDescent="0.3">
      <c r="A36" s="239"/>
      <c r="B36" s="247">
        <v>60</v>
      </c>
      <c r="C36" s="255">
        <v>26.8</v>
      </c>
      <c r="D36" s="255">
        <v>43.7</v>
      </c>
      <c r="E36" s="255">
        <v>74.400000000000006</v>
      </c>
      <c r="F36" s="255">
        <v>108.7</v>
      </c>
      <c r="G36" s="255">
        <v>127.2</v>
      </c>
      <c r="H36" s="255">
        <v>124.6</v>
      </c>
      <c r="I36" s="255">
        <v>121.3</v>
      </c>
      <c r="J36" s="255">
        <v>123.5</v>
      </c>
      <c r="K36" s="255">
        <v>83.5</v>
      </c>
      <c r="L36" s="255">
        <v>64.7</v>
      </c>
      <c r="M36" s="255">
        <v>33.1</v>
      </c>
      <c r="N36" s="255">
        <v>21.6</v>
      </c>
      <c r="P36" s="239"/>
      <c r="Q36" s="247">
        <v>60</v>
      </c>
      <c r="R36" s="255">
        <v>26.8</v>
      </c>
      <c r="S36" s="255">
        <v>43.7</v>
      </c>
      <c r="T36" s="255">
        <v>74.400000000000006</v>
      </c>
      <c r="U36" s="255">
        <v>108.7</v>
      </c>
      <c r="V36" s="255">
        <v>127.2</v>
      </c>
      <c r="W36" s="255">
        <v>124.6</v>
      </c>
      <c r="X36" s="255">
        <v>121.3</v>
      </c>
      <c r="Y36" s="255">
        <v>123.5</v>
      </c>
      <c r="Z36" s="255">
        <v>83.5</v>
      </c>
      <c r="AA36" s="255">
        <v>64.7</v>
      </c>
      <c r="AB36" s="255">
        <v>33.1</v>
      </c>
      <c r="AC36" s="255">
        <v>21.6</v>
      </c>
    </row>
    <row r="37" spans="1:29" ht="15.75" thickBot="1" x14ac:dyDescent="0.3">
      <c r="A37" s="239"/>
      <c r="B37" s="247">
        <v>75</v>
      </c>
      <c r="C37" s="255">
        <v>24.6</v>
      </c>
      <c r="D37" s="255">
        <v>40.299999999999997</v>
      </c>
      <c r="E37" s="255">
        <v>67.7</v>
      </c>
      <c r="F37" s="255">
        <v>97.9</v>
      </c>
      <c r="G37" s="255">
        <v>111.6</v>
      </c>
      <c r="H37" s="255">
        <v>108.7</v>
      </c>
      <c r="I37" s="255">
        <v>104.9</v>
      </c>
      <c r="J37" s="255">
        <v>109.4</v>
      </c>
      <c r="K37" s="255">
        <v>74.900000000000006</v>
      </c>
      <c r="L37" s="255">
        <v>60.3</v>
      </c>
      <c r="M37" s="255">
        <v>31.7</v>
      </c>
      <c r="N37" s="255">
        <v>20.8</v>
      </c>
      <c r="P37" s="239"/>
      <c r="Q37" s="247">
        <v>75</v>
      </c>
      <c r="R37" s="255">
        <v>24.6</v>
      </c>
      <c r="S37" s="255">
        <v>40.299999999999997</v>
      </c>
      <c r="T37" s="255">
        <v>67.7</v>
      </c>
      <c r="U37" s="255">
        <v>97.9</v>
      </c>
      <c r="V37" s="255">
        <v>111.6</v>
      </c>
      <c r="W37" s="255">
        <v>108.7</v>
      </c>
      <c r="X37" s="255">
        <v>104.9</v>
      </c>
      <c r="Y37" s="255">
        <v>109.4</v>
      </c>
      <c r="Z37" s="255">
        <v>74.900000000000006</v>
      </c>
      <c r="AA37" s="255">
        <v>60.3</v>
      </c>
      <c r="AB37" s="255">
        <v>31.7</v>
      </c>
      <c r="AC37" s="255">
        <v>20.8</v>
      </c>
    </row>
    <row r="38" spans="1:29" ht="15.75" thickBot="1" x14ac:dyDescent="0.3">
      <c r="A38" s="239"/>
      <c r="B38" s="246">
        <v>90</v>
      </c>
      <c r="C38" s="255">
        <v>22.3</v>
      </c>
      <c r="D38" s="255">
        <v>36.299999999999997</v>
      </c>
      <c r="E38" s="255">
        <v>58.8</v>
      </c>
      <c r="F38" s="255">
        <v>83.5</v>
      </c>
      <c r="G38" s="255">
        <v>93</v>
      </c>
      <c r="H38" s="255">
        <v>90.7</v>
      </c>
      <c r="I38" s="255">
        <v>87</v>
      </c>
      <c r="J38" s="255">
        <v>91.5</v>
      </c>
      <c r="K38" s="255">
        <v>64.099999999999994</v>
      </c>
      <c r="L38" s="255">
        <v>52.8</v>
      </c>
      <c r="M38" s="255">
        <v>28.1</v>
      </c>
      <c r="N38" s="255">
        <v>19.3</v>
      </c>
      <c r="P38" s="239"/>
      <c r="Q38" s="246">
        <v>90</v>
      </c>
      <c r="R38" s="255">
        <v>22.3</v>
      </c>
      <c r="S38" s="255">
        <v>36.299999999999997</v>
      </c>
      <c r="T38" s="255">
        <v>58.8</v>
      </c>
      <c r="U38" s="255">
        <v>83.5</v>
      </c>
      <c r="V38" s="255">
        <v>93</v>
      </c>
      <c r="W38" s="255">
        <v>90.7</v>
      </c>
      <c r="X38" s="255">
        <v>87</v>
      </c>
      <c r="Y38" s="255">
        <v>91.5</v>
      </c>
      <c r="Z38" s="255">
        <v>64.099999999999994</v>
      </c>
      <c r="AA38" s="255">
        <v>52.8</v>
      </c>
      <c r="AB38" s="255">
        <v>28.1</v>
      </c>
      <c r="AC38" s="255">
        <v>19.3</v>
      </c>
    </row>
    <row r="39" spans="1:29" ht="16.5" thickTop="1" thickBot="1" x14ac:dyDescent="0.3">
      <c r="A39" s="239"/>
      <c r="B39" s="357" t="s">
        <v>155</v>
      </c>
      <c r="C39" s="358"/>
      <c r="D39" s="358"/>
      <c r="E39" s="358"/>
      <c r="F39" s="358"/>
      <c r="G39" s="358"/>
      <c r="H39" s="358"/>
      <c r="I39" s="358"/>
      <c r="J39" s="358"/>
      <c r="K39" s="358"/>
      <c r="L39" s="358"/>
      <c r="M39" s="358"/>
      <c r="N39" s="359"/>
      <c r="P39" s="239"/>
      <c r="Q39" s="357" t="s">
        <v>155</v>
      </c>
      <c r="R39" s="358"/>
      <c r="S39" s="358"/>
      <c r="T39" s="358"/>
      <c r="U39" s="358"/>
      <c r="V39" s="358"/>
      <c r="W39" s="358"/>
      <c r="X39" s="358"/>
      <c r="Y39" s="358"/>
      <c r="Z39" s="358"/>
      <c r="AA39" s="358"/>
      <c r="AB39" s="358"/>
      <c r="AC39" s="359"/>
    </row>
    <row r="40" spans="1:29" ht="15.75" thickBot="1" x14ac:dyDescent="0.3">
      <c r="A40" s="239">
        <v>75</v>
      </c>
      <c r="B40" s="247">
        <v>15</v>
      </c>
      <c r="C40" s="255">
        <v>22.3</v>
      </c>
      <c r="D40" s="255">
        <v>39</v>
      </c>
      <c r="E40" s="255">
        <v>73.7</v>
      </c>
      <c r="F40" s="255">
        <v>115.2</v>
      </c>
      <c r="G40" s="255">
        <v>148.80000000000001</v>
      </c>
      <c r="H40" s="255">
        <v>146.9</v>
      </c>
      <c r="I40" s="255">
        <v>143.6</v>
      </c>
      <c r="J40" s="255">
        <v>137.6</v>
      </c>
      <c r="K40" s="255">
        <v>87.8</v>
      </c>
      <c r="L40" s="255">
        <v>59.5</v>
      </c>
      <c r="M40" s="255">
        <v>27.4</v>
      </c>
      <c r="N40" s="255">
        <v>16.399999999999999</v>
      </c>
      <c r="P40" s="239">
        <v>75</v>
      </c>
      <c r="Q40" s="247">
        <v>15</v>
      </c>
      <c r="R40" s="255">
        <v>22.3</v>
      </c>
      <c r="S40" s="255">
        <v>39</v>
      </c>
      <c r="T40" s="255">
        <v>73.7</v>
      </c>
      <c r="U40" s="255">
        <v>115.2</v>
      </c>
      <c r="V40" s="255">
        <v>148.80000000000001</v>
      </c>
      <c r="W40" s="255">
        <v>146.9</v>
      </c>
      <c r="X40" s="255">
        <v>143.6</v>
      </c>
      <c r="Y40" s="255">
        <v>137.6</v>
      </c>
      <c r="Z40" s="255">
        <v>87.8</v>
      </c>
      <c r="AA40" s="255">
        <v>59.5</v>
      </c>
      <c r="AB40" s="255">
        <v>27.4</v>
      </c>
      <c r="AC40" s="255">
        <v>16.399999999999999</v>
      </c>
    </row>
    <row r="41" spans="1:29" ht="15.75" thickBot="1" x14ac:dyDescent="0.3">
      <c r="A41" s="239"/>
      <c r="B41" s="247">
        <v>30</v>
      </c>
      <c r="C41" s="255">
        <v>23.1</v>
      </c>
      <c r="D41" s="255">
        <v>39.6</v>
      </c>
      <c r="E41" s="255">
        <v>73.7</v>
      </c>
      <c r="F41" s="255">
        <v>114.5</v>
      </c>
      <c r="G41" s="255">
        <v>143.6</v>
      </c>
      <c r="H41" s="255">
        <v>142.6</v>
      </c>
      <c r="I41" s="255">
        <v>139.1</v>
      </c>
      <c r="J41" s="255">
        <v>133.9</v>
      </c>
      <c r="K41" s="255">
        <v>86.4</v>
      </c>
      <c r="L41" s="255">
        <v>60.3</v>
      </c>
      <c r="M41" s="255">
        <v>28.1</v>
      </c>
      <c r="N41" s="255">
        <v>17.899999999999999</v>
      </c>
      <c r="P41" s="239"/>
      <c r="Q41" s="247">
        <v>30</v>
      </c>
      <c r="R41" s="255">
        <v>23.1</v>
      </c>
      <c r="S41" s="255">
        <v>39.6</v>
      </c>
      <c r="T41" s="255">
        <v>73.7</v>
      </c>
      <c r="U41" s="255">
        <v>114.5</v>
      </c>
      <c r="V41" s="255">
        <v>143.6</v>
      </c>
      <c r="W41" s="255">
        <v>142.6</v>
      </c>
      <c r="X41" s="255">
        <v>139.1</v>
      </c>
      <c r="Y41" s="255">
        <v>133.9</v>
      </c>
      <c r="Z41" s="255">
        <v>86.4</v>
      </c>
      <c r="AA41" s="255">
        <v>60.3</v>
      </c>
      <c r="AB41" s="255">
        <v>28.1</v>
      </c>
      <c r="AC41" s="255">
        <v>17.899999999999999</v>
      </c>
    </row>
    <row r="42" spans="1:29" ht="15.75" thickBot="1" x14ac:dyDescent="0.3">
      <c r="A42" s="239"/>
      <c r="B42" s="247">
        <v>45</v>
      </c>
      <c r="C42" s="255">
        <v>23.1</v>
      </c>
      <c r="D42" s="255">
        <v>39.6</v>
      </c>
      <c r="E42" s="255">
        <v>71.400000000000006</v>
      </c>
      <c r="F42" s="255">
        <v>110.2</v>
      </c>
      <c r="G42" s="255">
        <v>134.69999999999999</v>
      </c>
      <c r="H42" s="255">
        <v>134.6</v>
      </c>
      <c r="I42" s="255">
        <v>129.5</v>
      </c>
      <c r="J42" s="255">
        <v>127.2</v>
      </c>
      <c r="K42" s="255">
        <v>82.8</v>
      </c>
      <c r="L42" s="255">
        <v>59.5</v>
      </c>
      <c r="M42" s="255">
        <v>28.1</v>
      </c>
      <c r="N42" s="255">
        <v>17.899999999999999</v>
      </c>
      <c r="P42" s="239"/>
      <c r="Q42" s="247">
        <v>45</v>
      </c>
      <c r="R42" s="255">
        <v>23.1</v>
      </c>
      <c r="S42" s="255">
        <v>39.6</v>
      </c>
      <c r="T42" s="255">
        <v>71.400000000000006</v>
      </c>
      <c r="U42" s="255">
        <v>110.2</v>
      </c>
      <c r="V42" s="255">
        <v>134.69999999999999</v>
      </c>
      <c r="W42" s="255">
        <v>134.6</v>
      </c>
      <c r="X42" s="255">
        <v>129.5</v>
      </c>
      <c r="Y42" s="255">
        <v>127.2</v>
      </c>
      <c r="Z42" s="255">
        <v>82.8</v>
      </c>
      <c r="AA42" s="255">
        <v>59.5</v>
      </c>
      <c r="AB42" s="255">
        <v>28.1</v>
      </c>
      <c r="AC42" s="255">
        <v>17.899999999999999</v>
      </c>
    </row>
    <row r="43" spans="1:29" ht="15.75" thickBot="1" x14ac:dyDescent="0.3">
      <c r="A43" s="239"/>
      <c r="B43" s="247">
        <v>60</v>
      </c>
      <c r="C43" s="255">
        <v>22.3</v>
      </c>
      <c r="D43" s="255">
        <v>37.6</v>
      </c>
      <c r="E43" s="255">
        <v>67</v>
      </c>
      <c r="F43" s="255">
        <v>102.2</v>
      </c>
      <c r="G43" s="255">
        <v>122.8</v>
      </c>
      <c r="H43" s="255">
        <v>122.4</v>
      </c>
      <c r="I43" s="255">
        <v>117.6</v>
      </c>
      <c r="J43" s="255">
        <v>116.1</v>
      </c>
      <c r="K43" s="255">
        <v>77</v>
      </c>
      <c r="L43" s="255">
        <v>56.5</v>
      </c>
      <c r="M43" s="255">
        <v>27.4</v>
      </c>
      <c r="N43" s="255">
        <v>17.899999999999999</v>
      </c>
      <c r="P43" s="239"/>
      <c r="Q43" s="247">
        <v>60</v>
      </c>
      <c r="R43" s="255">
        <v>22.3</v>
      </c>
      <c r="S43" s="255">
        <v>37.6</v>
      </c>
      <c r="T43" s="255">
        <v>67</v>
      </c>
      <c r="U43" s="255">
        <v>102.2</v>
      </c>
      <c r="V43" s="255">
        <v>122.8</v>
      </c>
      <c r="W43" s="255">
        <v>122.4</v>
      </c>
      <c r="X43" s="255">
        <v>117.6</v>
      </c>
      <c r="Y43" s="255">
        <v>116.1</v>
      </c>
      <c r="Z43" s="255">
        <v>77</v>
      </c>
      <c r="AA43" s="255">
        <v>56.5</v>
      </c>
      <c r="AB43" s="255">
        <v>27.4</v>
      </c>
      <c r="AC43" s="255">
        <v>17.899999999999999</v>
      </c>
    </row>
    <row r="44" spans="1:29" ht="15.75" thickBot="1" x14ac:dyDescent="0.3">
      <c r="A44" s="239"/>
      <c r="B44" s="247">
        <v>75</v>
      </c>
      <c r="C44" s="255">
        <v>20.100000000000001</v>
      </c>
      <c r="D44" s="255">
        <v>34.9</v>
      </c>
      <c r="E44" s="255">
        <v>61</v>
      </c>
      <c r="F44" s="255">
        <v>92.2</v>
      </c>
      <c r="G44" s="255">
        <v>107.1</v>
      </c>
      <c r="H44" s="255">
        <v>108</v>
      </c>
      <c r="I44" s="255">
        <v>102.7</v>
      </c>
      <c r="J44" s="255">
        <v>101.9</v>
      </c>
      <c r="K44" s="255">
        <v>68.400000000000006</v>
      </c>
      <c r="L44" s="255">
        <v>52.1</v>
      </c>
      <c r="M44" s="255">
        <v>25.2</v>
      </c>
      <c r="N44" s="255">
        <v>16.399999999999999</v>
      </c>
      <c r="P44" s="239"/>
      <c r="Q44" s="247">
        <v>75</v>
      </c>
      <c r="R44" s="255">
        <v>20.100000000000001</v>
      </c>
      <c r="S44" s="255">
        <v>34.9</v>
      </c>
      <c r="T44" s="255">
        <v>61</v>
      </c>
      <c r="U44" s="255">
        <v>92.2</v>
      </c>
      <c r="V44" s="255">
        <v>107.1</v>
      </c>
      <c r="W44" s="255">
        <v>108</v>
      </c>
      <c r="X44" s="255">
        <v>102.7</v>
      </c>
      <c r="Y44" s="255">
        <v>101.9</v>
      </c>
      <c r="Z44" s="255">
        <v>68.400000000000006</v>
      </c>
      <c r="AA44" s="255">
        <v>52.1</v>
      </c>
      <c r="AB44" s="255">
        <v>25.2</v>
      </c>
      <c r="AC44" s="255">
        <v>16.399999999999999</v>
      </c>
    </row>
    <row r="45" spans="1:29" ht="15.75" thickBot="1" x14ac:dyDescent="0.3">
      <c r="A45" s="239"/>
      <c r="B45" s="246">
        <v>90</v>
      </c>
      <c r="C45" s="255">
        <v>17.899999999999999</v>
      </c>
      <c r="D45" s="255">
        <v>30.9</v>
      </c>
      <c r="E45" s="255">
        <v>52.8</v>
      </c>
      <c r="F45" s="255">
        <v>79.2</v>
      </c>
      <c r="G45" s="255">
        <v>90.8</v>
      </c>
      <c r="H45" s="255">
        <v>91.4</v>
      </c>
      <c r="I45" s="255">
        <v>86.3</v>
      </c>
      <c r="J45" s="255">
        <v>87</v>
      </c>
      <c r="K45" s="255">
        <v>59</v>
      </c>
      <c r="L45" s="255">
        <v>45.4</v>
      </c>
      <c r="M45" s="255">
        <v>22.3</v>
      </c>
      <c r="N45" s="255">
        <v>14.9</v>
      </c>
      <c r="P45" s="239"/>
      <c r="Q45" s="246">
        <v>90</v>
      </c>
      <c r="R45" s="255">
        <v>17.899999999999999</v>
      </c>
      <c r="S45" s="255">
        <v>30.9</v>
      </c>
      <c r="T45" s="255">
        <v>52.8</v>
      </c>
      <c r="U45" s="255">
        <v>79.2</v>
      </c>
      <c r="V45" s="255">
        <v>90.8</v>
      </c>
      <c r="W45" s="255">
        <v>91.4</v>
      </c>
      <c r="X45" s="255">
        <v>86.3</v>
      </c>
      <c r="Y45" s="255">
        <v>87</v>
      </c>
      <c r="Z45" s="255">
        <v>59</v>
      </c>
      <c r="AA45" s="255">
        <v>45.4</v>
      </c>
      <c r="AB45" s="255">
        <v>22.3</v>
      </c>
      <c r="AC45" s="255">
        <v>14.9</v>
      </c>
    </row>
    <row r="46" spans="1:29" ht="16.5" thickTop="1" thickBot="1" x14ac:dyDescent="0.3">
      <c r="A46" s="239"/>
      <c r="B46" s="357" t="s">
        <v>154</v>
      </c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9"/>
      <c r="P46" s="239"/>
      <c r="Q46" s="357" t="s">
        <v>154</v>
      </c>
      <c r="R46" s="358"/>
      <c r="S46" s="358"/>
      <c r="T46" s="358"/>
      <c r="U46" s="358"/>
      <c r="V46" s="358"/>
      <c r="W46" s="358"/>
      <c r="X46" s="358"/>
      <c r="Y46" s="358"/>
      <c r="Z46" s="358"/>
      <c r="AA46" s="358"/>
      <c r="AB46" s="358"/>
      <c r="AC46" s="359"/>
    </row>
    <row r="47" spans="1:29" ht="15.75" thickBot="1" x14ac:dyDescent="0.3">
      <c r="A47" s="239">
        <v>90</v>
      </c>
      <c r="B47" s="247">
        <v>15</v>
      </c>
      <c r="C47" s="255">
        <v>20.8</v>
      </c>
      <c r="D47" s="255">
        <v>37</v>
      </c>
      <c r="E47" s="255">
        <v>70.7</v>
      </c>
      <c r="F47" s="255">
        <v>112.3</v>
      </c>
      <c r="G47" s="255">
        <v>145.80000000000001</v>
      </c>
      <c r="H47" s="255">
        <v>145.4</v>
      </c>
      <c r="I47" s="255">
        <v>142.1</v>
      </c>
      <c r="J47" s="255">
        <v>133.9</v>
      </c>
      <c r="K47" s="255">
        <v>84.2</v>
      </c>
      <c r="L47" s="255">
        <v>55.8</v>
      </c>
      <c r="M47" s="255">
        <v>24.5</v>
      </c>
      <c r="N47" s="255">
        <v>14.9</v>
      </c>
      <c r="P47" s="239">
        <v>90</v>
      </c>
      <c r="Q47" s="247">
        <v>15</v>
      </c>
      <c r="R47" s="255">
        <v>20.8</v>
      </c>
      <c r="S47" s="255">
        <v>37</v>
      </c>
      <c r="T47" s="255">
        <v>70.7</v>
      </c>
      <c r="U47" s="255">
        <v>112.3</v>
      </c>
      <c r="V47" s="255">
        <v>145.80000000000001</v>
      </c>
      <c r="W47" s="255">
        <v>145.4</v>
      </c>
      <c r="X47" s="255">
        <v>142.1</v>
      </c>
      <c r="Y47" s="255">
        <v>133.9</v>
      </c>
      <c r="Z47" s="255">
        <v>84.2</v>
      </c>
      <c r="AA47" s="255">
        <v>55.8</v>
      </c>
      <c r="AB47" s="255">
        <v>24.5</v>
      </c>
      <c r="AC47" s="255">
        <v>14.9</v>
      </c>
    </row>
    <row r="48" spans="1:29" ht="15.75" thickBot="1" x14ac:dyDescent="0.3">
      <c r="A48" s="239"/>
      <c r="B48" s="247">
        <v>30</v>
      </c>
      <c r="C48" s="255">
        <v>20.100000000000001</v>
      </c>
      <c r="D48" s="255">
        <v>35.6</v>
      </c>
      <c r="E48" s="255">
        <v>68.400000000000006</v>
      </c>
      <c r="F48" s="255">
        <v>108</v>
      </c>
      <c r="G48" s="255">
        <v>138.4</v>
      </c>
      <c r="H48" s="255">
        <v>139.69999999999999</v>
      </c>
      <c r="I48" s="255">
        <v>135.4</v>
      </c>
      <c r="J48" s="255">
        <v>127.2</v>
      </c>
      <c r="K48" s="255">
        <v>80.599999999999994</v>
      </c>
      <c r="L48" s="255">
        <v>53.6</v>
      </c>
      <c r="M48" s="255">
        <v>24.5</v>
      </c>
      <c r="N48" s="255">
        <v>14.9</v>
      </c>
      <c r="P48" s="239"/>
      <c r="Q48" s="247">
        <v>30</v>
      </c>
      <c r="R48" s="255">
        <v>20.100000000000001</v>
      </c>
      <c r="S48" s="255">
        <v>35.6</v>
      </c>
      <c r="T48" s="255">
        <v>68.400000000000006</v>
      </c>
      <c r="U48" s="255">
        <v>108</v>
      </c>
      <c r="V48" s="255">
        <v>138.4</v>
      </c>
      <c r="W48" s="255">
        <v>139.69999999999999</v>
      </c>
      <c r="X48" s="255">
        <v>135.4</v>
      </c>
      <c r="Y48" s="255">
        <v>127.2</v>
      </c>
      <c r="Z48" s="255">
        <v>80.599999999999994</v>
      </c>
      <c r="AA48" s="255">
        <v>53.6</v>
      </c>
      <c r="AB48" s="255">
        <v>24.5</v>
      </c>
      <c r="AC48" s="255">
        <v>14.9</v>
      </c>
    </row>
    <row r="49" spans="1:29" ht="15.75" thickBot="1" x14ac:dyDescent="0.3">
      <c r="A49" s="239"/>
      <c r="B49" s="247">
        <v>45</v>
      </c>
      <c r="C49" s="255">
        <v>19.3</v>
      </c>
      <c r="D49" s="255">
        <v>34.299999999999997</v>
      </c>
      <c r="E49" s="255">
        <v>64.7</v>
      </c>
      <c r="F49" s="255">
        <v>102.2</v>
      </c>
      <c r="G49" s="255">
        <v>128.69999999999999</v>
      </c>
      <c r="H49" s="255">
        <v>130.30000000000001</v>
      </c>
      <c r="I49" s="255">
        <v>125</v>
      </c>
      <c r="J49" s="255">
        <v>118.3</v>
      </c>
      <c r="K49" s="255">
        <v>75.599999999999994</v>
      </c>
      <c r="L49" s="255">
        <v>51.3</v>
      </c>
      <c r="M49" s="255">
        <v>23</v>
      </c>
      <c r="N49" s="255">
        <v>14.9</v>
      </c>
      <c r="P49" s="239"/>
      <c r="Q49" s="247">
        <v>45</v>
      </c>
      <c r="R49" s="255">
        <v>19.3</v>
      </c>
      <c r="S49" s="255">
        <v>34.299999999999997</v>
      </c>
      <c r="T49" s="255">
        <v>64.7</v>
      </c>
      <c r="U49" s="255">
        <v>102.2</v>
      </c>
      <c r="V49" s="255">
        <v>128.69999999999999</v>
      </c>
      <c r="W49" s="255">
        <v>130.30000000000001</v>
      </c>
      <c r="X49" s="255">
        <v>125</v>
      </c>
      <c r="Y49" s="255">
        <v>118.3</v>
      </c>
      <c r="Z49" s="255">
        <v>75.599999999999994</v>
      </c>
      <c r="AA49" s="255">
        <v>51.3</v>
      </c>
      <c r="AB49" s="255">
        <v>23</v>
      </c>
      <c r="AC49" s="255">
        <v>14.9</v>
      </c>
    </row>
    <row r="50" spans="1:29" ht="15.75" thickBot="1" x14ac:dyDescent="0.3">
      <c r="A50" s="239"/>
      <c r="B50" s="247">
        <v>60</v>
      </c>
      <c r="C50" s="255">
        <v>17.899999999999999</v>
      </c>
      <c r="D50" s="255">
        <v>32.299999999999997</v>
      </c>
      <c r="E50" s="255">
        <v>59.5</v>
      </c>
      <c r="F50" s="255">
        <v>95</v>
      </c>
      <c r="G50" s="255">
        <v>116.1</v>
      </c>
      <c r="H50" s="255">
        <v>118.8</v>
      </c>
      <c r="I50" s="255">
        <v>113.1</v>
      </c>
      <c r="J50" s="255">
        <v>107.1</v>
      </c>
      <c r="K50" s="255">
        <v>69.099999999999994</v>
      </c>
      <c r="L50" s="255">
        <v>48.4</v>
      </c>
      <c r="M50" s="255">
        <v>21.6</v>
      </c>
      <c r="N50" s="255">
        <v>14.1</v>
      </c>
      <c r="P50" s="239"/>
      <c r="Q50" s="247">
        <v>60</v>
      </c>
      <c r="R50" s="255">
        <v>17.899999999999999</v>
      </c>
      <c r="S50" s="255">
        <v>32.299999999999997</v>
      </c>
      <c r="T50" s="255">
        <v>59.5</v>
      </c>
      <c r="U50" s="255">
        <v>95</v>
      </c>
      <c r="V50" s="255">
        <v>116.1</v>
      </c>
      <c r="W50" s="255">
        <v>118.8</v>
      </c>
      <c r="X50" s="255">
        <v>113.1</v>
      </c>
      <c r="Y50" s="255">
        <v>107.1</v>
      </c>
      <c r="Z50" s="255">
        <v>69.099999999999994</v>
      </c>
      <c r="AA50" s="255">
        <v>48.4</v>
      </c>
      <c r="AB50" s="255">
        <v>21.6</v>
      </c>
      <c r="AC50" s="255">
        <v>14.1</v>
      </c>
    </row>
    <row r="51" spans="1:29" ht="15.75" thickBot="1" x14ac:dyDescent="0.3">
      <c r="A51" s="239"/>
      <c r="B51" s="247">
        <v>75</v>
      </c>
      <c r="C51" s="255">
        <v>16.399999999999999</v>
      </c>
      <c r="D51" s="255">
        <v>28.9</v>
      </c>
      <c r="E51" s="255">
        <v>53.6</v>
      </c>
      <c r="F51" s="255">
        <v>85</v>
      </c>
      <c r="G51" s="255">
        <v>101.9</v>
      </c>
      <c r="H51" s="255">
        <v>105.1</v>
      </c>
      <c r="I51" s="255">
        <v>99</v>
      </c>
      <c r="J51" s="255">
        <v>94.5</v>
      </c>
      <c r="K51" s="255">
        <v>61.9</v>
      </c>
      <c r="L51" s="255">
        <v>43.9</v>
      </c>
      <c r="M51" s="255">
        <v>20.2</v>
      </c>
      <c r="N51" s="255">
        <v>12.6</v>
      </c>
      <c r="P51" s="239"/>
      <c r="Q51" s="247">
        <v>75</v>
      </c>
      <c r="R51" s="255">
        <v>16.399999999999999</v>
      </c>
      <c r="S51" s="255">
        <v>28.9</v>
      </c>
      <c r="T51" s="255">
        <v>53.6</v>
      </c>
      <c r="U51" s="255">
        <v>85</v>
      </c>
      <c r="V51" s="255">
        <v>101.9</v>
      </c>
      <c r="W51" s="255">
        <v>105.1</v>
      </c>
      <c r="X51" s="255">
        <v>99</v>
      </c>
      <c r="Y51" s="255">
        <v>94.5</v>
      </c>
      <c r="Z51" s="255">
        <v>61.9</v>
      </c>
      <c r="AA51" s="255">
        <v>43.9</v>
      </c>
      <c r="AB51" s="255">
        <v>20.2</v>
      </c>
      <c r="AC51" s="255">
        <v>12.6</v>
      </c>
    </row>
    <row r="52" spans="1:29" ht="15.75" thickBot="1" x14ac:dyDescent="0.3">
      <c r="A52" s="239"/>
      <c r="B52" s="246">
        <v>90</v>
      </c>
      <c r="C52" s="255">
        <v>14.1</v>
      </c>
      <c r="D52" s="255">
        <v>25.5</v>
      </c>
      <c r="E52" s="255">
        <v>46.9</v>
      </c>
      <c r="F52" s="255">
        <v>74.2</v>
      </c>
      <c r="G52" s="255">
        <v>87</v>
      </c>
      <c r="H52" s="255">
        <v>90</v>
      </c>
      <c r="I52" s="255">
        <v>84.1</v>
      </c>
      <c r="J52" s="255">
        <v>80.400000000000006</v>
      </c>
      <c r="K52" s="255">
        <v>53.3</v>
      </c>
      <c r="L52" s="255">
        <v>38.700000000000003</v>
      </c>
      <c r="M52" s="255">
        <v>18</v>
      </c>
      <c r="N52" s="255">
        <v>11.2</v>
      </c>
      <c r="P52" s="239"/>
      <c r="Q52" s="246">
        <v>90</v>
      </c>
      <c r="R52" s="255">
        <v>14.1</v>
      </c>
      <c r="S52" s="255">
        <v>25.5</v>
      </c>
      <c r="T52" s="255">
        <v>46.9</v>
      </c>
      <c r="U52" s="255">
        <v>74.2</v>
      </c>
      <c r="V52" s="255">
        <v>87</v>
      </c>
      <c r="W52" s="255">
        <v>90</v>
      </c>
      <c r="X52" s="255">
        <v>84.1</v>
      </c>
      <c r="Y52" s="255">
        <v>80.400000000000006</v>
      </c>
      <c r="Z52" s="255">
        <v>53.3</v>
      </c>
      <c r="AA52" s="255">
        <v>38.700000000000003</v>
      </c>
      <c r="AB52" s="255">
        <v>18</v>
      </c>
      <c r="AC52" s="255">
        <v>11.2</v>
      </c>
    </row>
    <row r="53" spans="1:29" ht="15.75" thickTop="1" x14ac:dyDescent="0.25">
      <c r="A53" s="239"/>
      <c r="B53" s="244" t="s">
        <v>153</v>
      </c>
      <c r="C53" s="244"/>
      <c r="D53" s="241">
        <f>CHOOSE(Zadání!D44,0,15,30,45,60,75,90)</f>
        <v>0</v>
      </c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P53" s="239"/>
      <c r="Q53" s="244" t="s">
        <v>153</v>
      </c>
      <c r="R53" s="244"/>
      <c r="S53" s="241">
        <f>CHOOSE(Zadání!G44,0,15,30,45,60,75,90)</f>
        <v>0</v>
      </c>
      <c r="T53" s="244"/>
      <c r="U53" s="244"/>
      <c r="V53" s="244"/>
      <c r="W53" s="244"/>
      <c r="X53" s="244"/>
      <c r="Y53" s="244"/>
      <c r="Z53" s="244"/>
      <c r="AA53" s="244"/>
      <c r="AB53" s="244"/>
      <c r="AC53" s="244"/>
    </row>
    <row r="54" spans="1:29" x14ac:dyDescent="0.25">
      <c r="A54" s="239"/>
      <c r="B54" s="243" t="s">
        <v>152</v>
      </c>
      <c r="C54" s="242" t="s">
        <v>150</v>
      </c>
      <c r="D54" s="242" t="s">
        <v>149</v>
      </c>
      <c r="E54" s="242" t="s">
        <v>148</v>
      </c>
      <c r="F54" s="242" t="s">
        <v>147</v>
      </c>
      <c r="G54" s="242" t="s">
        <v>146</v>
      </c>
      <c r="H54" s="242" t="s">
        <v>145</v>
      </c>
      <c r="I54" s="242" t="s">
        <v>144</v>
      </c>
      <c r="J54" s="242" t="s">
        <v>143</v>
      </c>
      <c r="K54" s="242" t="s">
        <v>142</v>
      </c>
      <c r="L54" s="242" t="s">
        <v>141</v>
      </c>
      <c r="M54" s="242" t="s">
        <v>140</v>
      </c>
      <c r="N54" s="242" t="s">
        <v>139</v>
      </c>
      <c r="P54" s="239"/>
      <c r="Q54" s="243" t="s">
        <v>152</v>
      </c>
      <c r="R54" s="242" t="s">
        <v>150</v>
      </c>
      <c r="S54" s="242" t="s">
        <v>149</v>
      </c>
      <c r="T54" s="242" t="s">
        <v>148</v>
      </c>
      <c r="U54" s="242" t="s">
        <v>147</v>
      </c>
      <c r="V54" s="242" t="s">
        <v>146</v>
      </c>
      <c r="W54" s="242" t="s">
        <v>145</v>
      </c>
      <c r="X54" s="242" t="s">
        <v>144</v>
      </c>
      <c r="Y54" s="242" t="s">
        <v>143</v>
      </c>
      <c r="Z54" s="242" t="s">
        <v>142</v>
      </c>
      <c r="AA54" s="242" t="s">
        <v>141</v>
      </c>
      <c r="AB54" s="242" t="s">
        <v>140</v>
      </c>
      <c r="AC54" s="242" t="s">
        <v>139</v>
      </c>
    </row>
    <row r="55" spans="1:29" x14ac:dyDescent="0.25">
      <c r="A55" s="239"/>
      <c r="B55" s="238">
        <v>0</v>
      </c>
      <c r="C55" s="257">
        <f>C4</f>
        <v>20.8</v>
      </c>
      <c r="D55" s="257">
        <f t="shared" ref="D55:N55" si="0">D4</f>
        <v>37</v>
      </c>
      <c r="E55" s="257">
        <f t="shared" si="0"/>
        <v>72.2</v>
      </c>
      <c r="F55" s="257">
        <f t="shared" si="0"/>
        <v>113.8</v>
      </c>
      <c r="G55" s="257">
        <f t="shared" si="0"/>
        <v>148.80000000000001</v>
      </c>
      <c r="H55" s="257">
        <f t="shared" si="0"/>
        <v>146.19999999999999</v>
      </c>
      <c r="I55" s="257">
        <f t="shared" si="0"/>
        <v>144.30000000000001</v>
      </c>
      <c r="J55" s="257">
        <f t="shared" si="0"/>
        <v>136.19999999999999</v>
      </c>
      <c r="K55" s="257">
        <f t="shared" si="0"/>
        <v>87.1</v>
      </c>
      <c r="L55" s="257">
        <f t="shared" si="0"/>
        <v>56.5</v>
      </c>
      <c r="M55" s="257">
        <f t="shared" si="0"/>
        <v>25.2</v>
      </c>
      <c r="N55" s="257">
        <f t="shared" si="0"/>
        <v>14.9</v>
      </c>
      <c r="P55" s="239"/>
      <c r="Q55" s="238">
        <v>0</v>
      </c>
      <c r="R55" s="257">
        <f>R4</f>
        <v>20.8</v>
      </c>
      <c r="S55" s="257">
        <f t="shared" ref="S55:AC55" si="1">S4</f>
        <v>37</v>
      </c>
      <c r="T55" s="257">
        <f t="shared" si="1"/>
        <v>72.2</v>
      </c>
      <c r="U55" s="257">
        <f t="shared" si="1"/>
        <v>113.8</v>
      </c>
      <c r="V55" s="257">
        <f t="shared" si="1"/>
        <v>148.80000000000001</v>
      </c>
      <c r="W55" s="257">
        <f t="shared" si="1"/>
        <v>146.19999999999999</v>
      </c>
      <c r="X55" s="257">
        <f t="shared" si="1"/>
        <v>144.30000000000001</v>
      </c>
      <c r="Y55" s="257">
        <f t="shared" si="1"/>
        <v>136.19999999999999</v>
      </c>
      <c r="Z55" s="257">
        <f t="shared" si="1"/>
        <v>87.1</v>
      </c>
      <c r="AA55" s="257">
        <f t="shared" si="1"/>
        <v>56.5</v>
      </c>
      <c r="AB55" s="257">
        <f t="shared" si="1"/>
        <v>25.2</v>
      </c>
      <c r="AC55" s="257">
        <f t="shared" si="1"/>
        <v>14.9</v>
      </c>
    </row>
    <row r="56" spans="1:29" x14ac:dyDescent="0.25">
      <c r="A56" s="239"/>
      <c r="B56" s="238">
        <v>15</v>
      </c>
      <c r="C56" s="257">
        <f>+CHOOSE(Zadání!$D$44,H!C5,H!C12,H!C19,H!C26,C33,C40,C47)</f>
        <v>27.5</v>
      </c>
      <c r="D56" s="257">
        <f>+CHOOSE(Zadání!$D$44,H!D5,H!D12,H!D19,H!D26,D33,D40,D47)</f>
        <v>46.4</v>
      </c>
      <c r="E56" s="257">
        <f>+CHOOSE(Zadání!$D$44,H!E5,H!E12,H!E19,H!E26,E33,E40,E47)</f>
        <v>89</v>
      </c>
      <c r="F56" s="257">
        <f>+CHOOSE(Zadání!$D$44,H!F5,H!F12,H!F19,H!F26,F33,F40,F47)</f>
        <v>124.6</v>
      </c>
      <c r="G56" s="257">
        <f>+CHOOSE(Zadání!$D$44,H!G5,H!G12,H!G19,H!G26,G33,G40,G47)</f>
        <v>155.5</v>
      </c>
      <c r="H56" s="257">
        <f>+CHOOSE(Zadání!$D$44,H!H5,H!H12,H!H19,H!H26,H33,H40,H47)</f>
        <v>149.80000000000001</v>
      </c>
      <c r="I56" s="257">
        <f>+CHOOSE(Zadání!$D$44,H!I5,H!I12,H!I19,H!I26,I33,I40,I47)</f>
        <v>148.80000000000001</v>
      </c>
      <c r="J56" s="257">
        <f>+CHOOSE(Zadání!$D$44,H!J5,H!J12,H!J19,H!J26,J33,J40,J47)</f>
        <v>147.30000000000001</v>
      </c>
      <c r="K56" s="257">
        <f>+CHOOSE(Zadání!$D$44,H!K5,H!K12,H!K19,H!K26,K33,K40,K47)</f>
        <v>97.9</v>
      </c>
      <c r="L56" s="257">
        <f>+CHOOSE(Zadání!$D$44,H!L5,H!L12,H!L19,H!L26,L33,L40,L47)</f>
        <v>69.900000000000006</v>
      </c>
      <c r="M56" s="257">
        <f>+CHOOSE(Zadání!$D$44,H!M5,H!M12,H!M19,H!M26,M33,M40,M47)</f>
        <v>33.799999999999997</v>
      </c>
      <c r="N56" s="257">
        <f>+CHOOSE(Zadání!$D$44,H!N5,H!N12,H!N19,H!N26,N33,N40,N47)</f>
        <v>20.8</v>
      </c>
      <c r="P56" s="239"/>
      <c r="Q56" s="238">
        <v>15</v>
      </c>
      <c r="R56" s="257">
        <f>+CHOOSE(Zadání!$G$44,H!R5,H!R12,H!R19,H!R26,R33,R40,R47)</f>
        <v>27.5</v>
      </c>
      <c r="S56" s="257">
        <f>+CHOOSE(Zadání!$G$44,H!S5,H!S12,H!S19,H!S26,S33,S40,S47)</f>
        <v>46.4</v>
      </c>
      <c r="T56" s="257">
        <f>+CHOOSE(Zadání!$G$44,H!T5,H!T12,H!T19,H!T26,T33,T40,T47)</f>
        <v>89</v>
      </c>
      <c r="U56" s="257">
        <f>+CHOOSE(Zadání!$G$44,H!U5,H!U12,H!U19,H!U26,U33,U40,U47)</f>
        <v>124.6</v>
      </c>
      <c r="V56" s="257">
        <f>+CHOOSE(Zadání!$G$44,H!V5,H!V12,H!V19,H!V26,V33,V40,V47)</f>
        <v>155.5</v>
      </c>
      <c r="W56" s="257">
        <f>+CHOOSE(Zadání!$G$44,H!W5,H!W12,H!W19,H!W26,W33,W40,W47)</f>
        <v>149.80000000000001</v>
      </c>
      <c r="X56" s="257">
        <f>+CHOOSE(Zadání!$G$44,H!X5,H!X12,H!X19,H!X26,X33,X40,X47)</f>
        <v>148.80000000000001</v>
      </c>
      <c r="Y56" s="257">
        <f>+CHOOSE(Zadání!$G$44,H!Y5,H!Y12,H!Y19,H!Y26,Y33,Y40,Y47)</f>
        <v>147.30000000000001</v>
      </c>
      <c r="Z56" s="257">
        <f>+CHOOSE(Zadání!$G$44,H!Z5,H!Z12,H!Z19,H!Z26,Z33,Z40,Z47)</f>
        <v>97.9</v>
      </c>
      <c r="AA56" s="257">
        <f>+CHOOSE(Zadání!$G$44,H!AA5,H!AA12,H!AA19,H!AA26,AA33,AA40,AA47)</f>
        <v>69.900000000000006</v>
      </c>
      <c r="AB56" s="257">
        <f>+CHOOSE(Zadání!$G$44,H!AB5,H!AB12,H!AB19,H!AB26,AB33,AB40,AB47)</f>
        <v>33.799999999999997</v>
      </c>
      <c r="AC56" s="257">
        <f>+CHOOSE(Zadání!$G$44,H!AC5,H!AC12,H!AC19,H!AC26,AC33,AC40,AC47)</f>
        <v>20.8</v>
      </c>
    </row>
    <row r="57" spans="1:29" x14ac:dyDescent="0.25">
      <c r="A57" s="239"/>
      <c r="B57" s="238">
        <v>30</v>
      </c>
      <c r="C57" s="257">
        <f>+CHOOSE(Zadání!$D$44,H!C6,H!C13,H!C20,H!C27,C34,C41,C48)</f>
        <v>32</v>
      </c>
      <c r="D57" s="257">
        <f>+CHOOSE(Zadání!$D$44,H!D6,H!D13,H!D20,H!D27,D34,D41,D48)</f>
        <v>53.1</v>
      </c>
      <c r="E57" s="257">
        <f>+CHOOSE(Zadání!$D$44,H!E6,H!E13,H!E20,H!E27,E34,E41,E48)</f>
        <v>90.8</v>
      </c>
      <c r="F57" s="257">
        <f>+CHOOSE(Zadání!$D$44,H!F6,H!F13,H!F20,H!F27,F34,F41,F48)</f>
        <v>128.9</v>
      </c>
      <c r="G57" s="257">
        <f>+CHOOSE(Zadání!$D$44,H!G6,H!G13,H!G20,H!G27,G34,G41,G48)</f>
        <v>154.80000000000001</v>
      </c>
      <c r="H57" s="257">
        <f>+CHOOSE(Zadání!$D$44,H!H6,H!H13,H!H20,H!H27,H34,H41,H48)</f>
        <v>146.19999999999999</v>
      </c>
      <c r="I57" s="257">
        <f>+CHOOSE(Zadání!$D$44,H!I6,H!I13,H!I20,H!I27,I34,I41,I48)</f>
        <v>145.80000000000001</v>
      </c>
      <c r="J57" s="257">
        <f>+CHOOSE(Zadání!$D$44,H!J6,H!J13,H!J20,H!J27,J34,J41,J48)</f>
        <v>151.80000000000001</v>
      </c>
      <c r="K57" s="257">
        <f>+CHOOSE(Zadání!$D$44,H!K6,H!K13,H!K20,H!K27,K34,K41,K48)</f>
        <v>104.4</v>
      </c>
      <c r="L57" s="257">
        <f>+CHOOSE(Zadání!$D$44,H!L6,H!L13,H!L20,H!L27,L34,L41,L48)</f>
        <v>79.599999999999994</v>
      </c>
      <c r="M57" s="257">
        <f>+CHOOSE(Zadání!$D$44,H!M6,H!M13,H!M20,H!M27,M34,M41,M48)</f>
        <v>41</v>
      </c>
      <c r="N57" s="257">
        <f>+CHOOSE(Zadání!$D$44,H!N6,H!N13,H!N20,H!N27,N34,N41,N48)</f>
        <v>25.3</v>
      </c>
      <c r="P57" s="239"/>
      <c r="Q57" s="238">
        <v>30</v>
      </c>
      <c r="R57" s="257">
        <f>+CHOOSE(Zadání!$G$44,H!R6,H!R13,H!R20,H!R27,R34,R41,R48)</f>
        <v>32</v>
      </c>
      <c r="S57" s="257">
        <f>+CHOOSE(Zadání!$G$44,H!S6,H!S13,H!S20,H!S27,S34,S41,S48)</f>
        <v>53.1</v>
      </c>
      <c r="T57" s="257">
        <f>+CHOOSE(Zadání!$G$44,H!T6,H!T13,H!T20,H!T27,T34,T41,T48)</f>
        <v>90.8</v>
      </c>
      <c r="U57" s="257">
        <f>+CHOOSE(Zadání!$G$44,H!U6,H!U13,H!U20,H!U27,U34,U41,U48)</f>
        <v>128.9</v>
      </c>
      <c r="V57" s="257">
        <f>+CHOOSE(Zadání!$G$44,H!V6,H!V13,H!V20,H!V27,V34,V41,V48)</f>
        <v>154.80000000000001</v>
      </c>
      <c r="W57" s="257">
        <f>+CHOOSE(Zadání!$G$44,H!W6,H!W13,H!W20,H!W27,W34,W41,W48)</f>
        <v>146.19999999999999</v>
      </c>
      <c r="X57" s="257">
        <f>+CHOOSE(Zadání!$G$44,H!X6,H!X13,H!X20,H!X27,X34,X41,X48)</f>
        <v>145.80000000000001</v>
      </c>
      <c r="Y57" s="257">
        <f>+CHOOSE(Zadání!$G$44,H!Y6,H!Y13,H!Y20,H!Y27,Y34,Y41,Y48)</f>
        <v>151.80000000000001</v>
      </c>
      <c r="Z57" s="257">
        <f>+CHOOSE(Zadání!$G$44,H!Z6,H!Z13,H!Z20,H!Z27,Z34,Z41,Z48)</f>
        <v>104.4</v>
      </c>
      <c r="AA57" s="257">
        <f>+CHOOSE(Zadání!$G$44,H!AA6,H!AA13,H!AA20,H!AA27,AA34,AA41,AA48)</f>
        <v>79.599999999999994</v>
      </c>
      <c r="AB57" s="257">
        <f>+CHOOSE(Zadání!$G$44,H!AB6,H!AB13,H!AB20,H!AB27,AB34,AB41,AB48)</f>
        <v>41</v>
      </c>
      <c r="AC57" s="257">
        <f>+CHOOSE(Zadání!$G$44,H!AC6,H!AC13,H!AC20,H!AC27,AC34,AC41,AC48)</f>
        <v>25.3</v>
      </c>
    </row>
    <row r="58" spans="1:29" x14ac:dyDescent="0.25">
      <c r="A58" s="239"/>
      <c r="B58" s="238">
        <v>45</v>
      </c>
      <c r="C58" s="257">
        <f>+CHOOSE(Zadání!$D$44,H!C7,H!C14,H!C21,H!C28,C35,C42,C49)</f>
        <v>35.700000000000003</v>
      </c>
      <c r="D58" s="257">
        <f>+CHOOSE(Zadání!$D$44,H!D7,H!D14,H!D21,H!D28,D35,D42,D49)</f>
        <v>57.1</v>
      </c>
      <c r="E58" s="257">
        <f>+CHOOSE(Zadání!$D$44,H!E7,H!E14,H!E21,H!E28,E35,E42,E49)</f>
        <v>93</v>
      </c>
      <c r="F58" s="257">
        <f>+CHOOSE(Zadání!$D$44,H!F7,H!F14,H!F21,H!F28,F35,F42,F49)</f>
        <v>127.4</v>
      </c>
      <c r="G58" s="257">
        <f>+CHOOSE(Zadání!$D$44,H!G7,H!G14,H!G21,H!G28,G35,G42,G49)</f>
        <v>147.30000000000001</v>
      </c>
      <c r="H58" s="257">
        <f>+CHOOSE(Zadání!$D$44,H!H7,H!H14,H!H21,H!H28,H35,H42,H49)</f>
        <v>136.1</v>
      </c>
      <c r="I58" s="257">
        <f>+CHOOSE(Zadání!$D$44,H!I7,H!I14,H!I21,H!I28,I35,I42,I49)</f>
        <v>136.9</v>
      </c>
      <c r="J58" s="257">
        <f>+CHOOSE(Zadání!$D$44,H!J7,H!J14,H!J21,H!J28,J35,J42,J49)</f>
        <v>148.1</v>
      </c>
      <c r="K58" s="257">
        <f>+CHOOSE(Zadání!$D$44,H!K7,H!K14,H!K21,H!K28,K35,K42,K49)</f>
        <v>105.1</v>
      </c>
      <c r="L58" s="257">
        <f>+CHOOSE(Zadání!$D$44,H!L7,H!L14,H!L21,H!L28,L35,L42,L49)</f>
        <v>85.6</v>
      </c>
      <c r="M58" s="257">
        <f>+CHOOSE(Zadání!$D$44,H!M7,H!M14,H!M21,H!M28,M35,M42,M49)</f>
        <v>46.1</v>
      </c>
      <c r="N58" s="257">
        <f>+CHOOSE(Zadání!$D$44,H!N7,H!N14,H!N21,H!N28,N35,N42,N49)</f>
        <v>29</v>
      </c>
      <c r="P58" s="239"/>
      <c r="Q58" s="238">
        <v>45</v>
      </c>
      <c r="R58" s="257">
        <f>+CHOOSE(Zadání!$G$44,H!R7,H!R14,H!R21,H!R28,R35,R42,R49)</f>
        <v>35.700000000000003</v>
      </c>
      <c r="S58" s="257">
        <f>+CHOOSE(Zadání!$G$44,H!S7,H!S14,H!S21,H!S28,S35,S42,S49)</f>
        <v>57.1</v>
      </c>
      <c r="T58" s="257">
        <f>+CHOOSE(Zadání!$G$44,H!T7,H!T14,H!T21,H!T28,T35,T42,T49)</f>
        <v>93</v>
      </c>
      <c r="U58" s="257">
        <f>+CHOOSE(Zadání!$G$44,H!U7,H!U14,H!U21,H!U28,U35,U42,U49)</f>
        <v>127.4</v>
      </c>
      <c r="V58" s="257">
        <f>+CHOOSE(Zadání!$G$44,H!V7,H!V14,H!V21,H!V28,V35,V42,V49)</f>
        <v>147.30000000000001</v>
      </c>
      <c r="W58" s="257">
        <f>+CHOOSE(Zadání!$G$44,H!W7,H!W14,H!W21,H!W28,W35,W42,W49)</f>
        <v>136.1</v>
      </c>
      <c r="X58" s="257">
        <f>+CHOOSE(Zadání!$G$44,H!X7,H!X14,H!X21,H!X28,X35,X42,X49)</f>
        <v>136.9</v>
      </c>
      <c r="Y58" s="257">
        <f>+CHOOSE(Zadání!$G$44,H!Y7,H!Y14,H!Y21,H!Y28,Y35,Y42,Y49)</f>
        <v>148.1</v>
      </c>
      <c r="Z58" s="257">
        <f>+CHOOSE(Zadání!$G$44,H!Z7,H!Z14,H!Z21,H!Z28,Z35,Z42,Z49)</f>
        <v>105.1</v>
      </c>
      <c r="AA58" s="257">
        <f>+CHOOSE(Zadání!$G$44,H!AA7,H!AA14,H!AA21,H!AA28,AA35,AA42,AA49)</f>
        <v>85.6</v>
      </c>
      <c r="AB58" s="257">
        <f>+CHOOSE(Zadání!$G$44,H!AB7,H!AB14,H!AB21,H!AB28,AB35,AB42,AB49)</f>
        <v>46.1</v>
      </c>
      <c r="AC58" s="257">
        <f>+CHOOSE(Zadání!$G$44,H!AC7,H!AC14,H!AC21,H!AC28,AC35,AC42,AC49)</f>
        <v>29</v>
      </c>
    </row>
    <row r="59" spans="1:29" x14ac:dyDescent="0.25">
      <c r="A59" s="239"/>
      <c r="B59" s="238">
        <v>60</v>
      </c>
      <c r="C59" s="257">
        <f>+CHOOSE(Zadání!$D$44,H!C8,H!C15,H!C22,H!C29,C36,C43,C50)</f>
        <v>37.200000000000003</v>
      </c>
      <c r="D59" s="257">
        <f>+CHOOSE(Zadání!$D$44,H!D8,H!D15,H!D22,H!D29,D36,D43,D50)</f>
        <v>57.8</v>
      </c>
      <c r="E59" s="257">
        <f>+CHOOSE(Zadání!$D$44,H!E8,H!E15,H!E22,H!E29,E36,E43,E50)</f>
        <v>91.5</v>
      </c>
      <c r="F59" s="257">
        <f>+CHOOSE(Zadání!$D$44,H!F8,H!F15,H!F22,H!F29,F36,F43,F50)</f>
        <v>118.8</v>
      </c>
      <c r="G59" s="257">
        <f>+CHOOSE(Zadání!$D$44,H!G8,H!G15,H!G22,H!G29,G36,G43,G50)</f>
        <v>132.4</v>
      </c>
      <c r="H59" s="257">
        <f>+CHOOSE(Zadání!$D$44,H!H8,H!H15,H!H22,H!H29,H36,H43,H50)</f>
        <v>120.2</v>
      </c>
      <c r="I59" s="257">
        <f>+CHOOSE(Zadání!$D$44,H!I8,H!I15,H!I22,H!I29,I36,I43,I50)</f>
        <v>121.3</v>
      </c>
      <c r="J59" s="257">
        <f>+CHOOSE(Zadání!$D$44,H!J8,H!J15,H!J22,H!J29,J36,J43,J50)</f>
        <v>136.9</v>
      </c>
      <c r="K59" s="257">
        <f>+CHOOSE(Zadání!$D$44,H!K8,H!K15,H!K22,H!K29,K36,K43,K50)</f>
        <v>100.8</v>
      </c>
      <c r="L59" s="257">
        <f>+CHOOSE(Zadání!$D$44,H!L8,H!L15,H!L22,H!L29,L36,L43,L50)</f>
        <v>86.3</v>
      </c>
      <c r="M59" s="257">
        <f>+CHOOSE(Zadání!$D$44,H!M8,H!M15,H!M22,H!M29,M36,M43,M50)</f>
        <v>48.2</v>
      </c>
      <c r="N59" s="257">
        <f>+CHOOSE(Zadání!$D$44,H!N8,H!N15,H!N22,H!N29,N36,N43,N50)</f>
        <v>30.5</v>
      </c>
      <c r="P59" s="239"/>
      <c r="Q59" s="238">
        <v>60</v>
      </c>
      <c r="R59" s="257">
        <f>+CHOOSE(Zadání!$G$44,H!R8,H!R15,H!R22,H!R29,R36,R43,R50)</f>
        <v>37.200000000000003</v>
      </c>
      <c r="S59" s="257">
        <f>+CHOOSE(Zadání!$G$44,H!S8,H!S15,H!S22,H!S29,S36,S43,S50)</f>
        <v>57.8</v>
      </c>
      <c r="T59" s="257">
        <f>+CHOOSE(Zadání!$G$44,H!T8,H!T15,H!T22,H!T29,T36,T43,T50)</f>
        <v>91.5</v>
      </c>
      <c r="U59" s="257">
        <f>+CHOOSE(Zadání!$G$44,H!U8,H!U15,H!U22,H!U29,U36,U43,U50)</f>
        <v>118.8</v>
      </c>
      <c r="V59" s="257">
        <f>+CHOOSE(Zadání!$G$44,H!V8,H!V15,H!V22,H!V29,V36,V43,V50)</f>
        <v>132.4</v>
      </c>
      <c r="W59" s="257">
        <f>+CHOOSE(Zadání!$G$44,H!W8,H!W15,H!W22,H!W29,W36,W43,W50)</f>
        <v>120.2</v>
      </c>
      <c r="X59" s="257">
        <f>+CHOOSE(Zadání!$G$44,H!X8,H!X15,H!X22,H!X29,X36,X43,X50)</f>
        <v>121.3</v>
      </c>
      <c r="Y59" s="257">
        <f>+CHOOSE(Zadání!$G$44,H!Y8,H!Y15,H!Y22,H!Y29,Y36,Y43,Y50)</f>
        <v>136.9</v>
      </c>
      <c r="Z59" s="257">
        <f>+CHOOSE(Zadání!$G$44,H!Z8,H!Z15,H!Z22,H!Z29,Z36,Z43,Z50)</f>
        <v>100.8</v>
      </c>
      <c r="AA59" s="257">
        <f>+CHOOSE(Zadání!$G$44,H!AA8,H!AA15,H!AA22,H!AA29,AA36,AA43,AA50)</f>
        <v>86.3</v>
      </c>
      <c r="AB59" s="257">
        <f>+CHOOSE(Zadání!$G$44,H!AB8,H!AB15,H!AB22,H!AB29,AB36,AB43,AB50)</f>
        <v>48.2</v>
      </c>
      <c r="AC59" s="257">
        <f>+CHOOSE(Zadání!$G$44,H!AC8,H!AC15,H!AC22,H!AC29,AC36,AC43,AC50)</f>
        <v>30.5</v>
      </c>
    </row>
    <row r="60" spans="1:29" x14ac:dyDescent="0.25">
      <c r="A60" s="239"/>
      <c r="B60" s="238">
        <v>75</v>
      </c>
      <c r="C60" s="257">
        <f>+CHOOSE(Zadání!$D$44,H!C9,H!C16,H!C23,H!C30,C37,C44,C51)</f>
        <v>36.5</v>
      </c>
      <c r="D60" s="257">
        <f>+CHOOSE(Zadání!$D$44,H!D9,H!D16,H!D23,H!D30,D37,D44,D51)</f>
        <v>55.8</v>
      </c>
      <c r="E60" s="257">
        <f>+CHOOSE(Zadání!$D$44,H!E9,H!E16,H!E23,H!E30,E37,E44,E51)</f>
        <v>84.8</v>
      </c>
      <c r="F60" s="257">
        <f>+CHOOSE(Zadání!$D$44,H!F9,H!F16,H!F23,H!F30,F37,F44,F51)</f>
        <v>105.1</v>
      </c>
      <c r="G60" s="257">
        <f>+CHOOSE(Zadání!$D$44,H!G9,H!G16,H!G23,H!G30,G37,G44,G51)</f>
        <v>111.6</v>
      </c>
      <c r="H60" s="257">
        <f>+CHOOSE(Zadání!$D$44,H!H9,H!H16,H!H23,H!H30,H37,H44,H51)</f>
        <v>99.4</v>
      </c>
      <c r="I60" s="257">
        <f>+CHOOSE(Zadání!$D$44,H!I9,H!I16,H!I23,H!I30,I37,I44,I51)</f>
        <v>101.2</v>
      </c>
      <c r="J60" s="257">
        <f>+CHOOSE(Zadání!$D$44,H!J9,H!J16,H!J23,H!J30,J37,J44,J51)</f>
        <v>119</v>
      </c>
      <c r="K60" s="257">
        <f>+CHOOSE(Zadání!$D$44,H!K9,H!K16,H!K23,H!K30,K37,K44,K51)</f>
        <v>91.4</v>
      </c>
      <c r="L60" s="257">
        <f>+CHOOSE(Zadání!$D$44,H!L9,H!L16,H!L23,H!L30,L37,L44,L51)</f>
        <v>82.6</v>
      </c>
      <c r="M60" s="257">
        <f>+CHOOSE(Zadání!$D$44,H!M9,H!M16,H!M23,H!M30,M37,M44,M51)</f>
        <v>48.2</v>
      </c>
      <c r="N60" s="257">
        <f>+CHOOSE(Zadání!$D$44,H!N9,H!N16,H!N23,H!N30,N37,N44,N51)</f>
        <v>30.5</v>
      </c>
      <c r="P60" s="239"/>
      <c r="Q60" s="238">
        <v>75</v>
      </c>
      <c r="R60" s="257">
        <f>+CHOOSE(Zadání!$G$44,H!R9,H!R16,H!R23,H!R30,R37,R44,R51)</f>
        <v>36.5</v>
      </c>
      <c r="S60" s="257">
        <f>+CHOOSE(Zadání!$G$44,H!S9,H!S16,H!S23,H!S30,S37,S44,S51)</f>
        <v>55.8</v>
      </c>
      <c r="T60" s="257">
        <f>+CHOOSE(Zadání!$G$44,H!T9,H!T16,H!T23,H!T30,T37,T44,T51)</f>
        <v>84.8</v>
      </c>
      <c r="U60" s="257">
        <f>+CHOOSE(Zadání!$G$44,H!U9,H!U16,H!U23,H!U30,U37,U44,U51)</f>
        <v>105.1</v>
      </c>
      <c r="V60" s="257">
        <f>+CHOOSE(Zadání!$G$44,H!V9,H!V16,H!V23,H!V30,V37,V44,V51)</f>
        <v>111.6</v>
      </c>
      <c r="W60" s="257">
        <f>+CHOOSE(Zadání!$G$44,H!W9,H!W16,H!W23,H!W30,W37,W44,W51)</f>
        <v>99.4</v>
      </c>
      <c r="X60" s="257">
        <f>+CHOOSE(Zadání!$G$44,H!X9,H!X16,H!X23,H!X30,X37,X44,X51)</f>
        <v>101.2</v>
      </c>
      <c r="Y60" s="257">
        <f>+CHOOSE(Zadání!$G$44,H!Y9,H!Y16,H!Y23,H!Y30,Y37,Y44,Y51)</f>
        <v>119</v>
      </c>
      <c r="Z60" s="257">
        <f>+CHOOSE(Zadání!$G$44,H!Z9,H!Z16,H!Z23,H!Z30,Z37,Z44,Z51)</f>
        <v>91.4</v>
      </c>
      <c r="AA60" s="257">
        <f>+CHOOSE(Zadání!$G$44,H!AA9,H!AA16,H!AA23,H!AA30,AA37,AA44,AA51)</f>
        <v>82.6</v>
      </c>
      <c r="AB60" s="257">
        <f>+CHOOSE(Zadání!$G$44,H!AB9,H!AB16,H!AB23,H!AB30,AB37,AB44,AB51)</f>
        <v>48.2</v>
      </c>
      <c r="AC60" s="257">
        <f>+CHOOSE(Zadání!$G$44,H!AC9,H!AC16,H!AC23,H!AC30,AC37,AC44,AC51)</f>
        <v>30.5</v>
      </c>
    </row>
    <row r="61" spans="1:29" x14ac:dyDescent="0.25">
      <c r="A61" s="239"/>
      <c r="B61" s="238">
        <v>90</v>
      </c>
      <c r="C61" s="257">
        <f>+CHOOSE(Zadání!$D$44,H!C10,H!C17,H!C24,H!C31,C38,C45,C52)</f>
        <v>34.200000000000003</v>
      </c>
      <c r="D61" s="257">
        <f>+CHOOSE(Zadání!$D$44,H!D10,H!D17,H!D24,H!D31,D38,D45,D52)</f>
        <v>51.1</v>
      </c>
      <c r="E61" s="257">
        <f>+CHOOSE(Zadání!$D$44,H!E10,H!E17,H!E24,H!E31,E38,E45,E52)</f>
        <v>74.400000000000006</v>
      </c>
      <c r="F61" s="257">
        <f>+CHOOSE(Zadání!$D$44,H!F10,H!F17,H!F24,H!F31,F38,F45,F52)</f>
        <v>85.7</v>
      </c>
      <c r="G61" s="257">
        <f>+CHOOSE(Zadání!$D$44,H!G10,H!G17,H!G24,H!G31,G38,G45,G52)</f>
        <v>87</v>
      </c>
      <c r="H61" s="257">
        <f>+CHOOSE(Zadání!$D$44,H!H10,H!H17,H!H24,H!H31,H38,H45,H52)</f>
        <v>75.599999999999994</v>
      </c>
      <c r="I61" s="257">
        <f>+CHOOSE(Zadání!$D$44,H!I10,H!I17,H!I24,H!I31,I38,I45,I52)</f>
        <v>78.099999999999994</v>
      </c>
      <c r="J61" s="257">
        <f>+CHOOSE(Zadání!$D$44,H!J10,H!J17,H!J24,H!J31,J38,J45,J52)</f>
        <v>96</v>
      </c>
      <c r="K61" s="257">
        <f>+CHOOSE(Zadání!$D$44,H!K10,H!K17,H!K24,H!K31,K38,K45,K52)</f>
        <v>77.8</v>
      </c>
      <c r="L61" s="257">
        <f>+CHOOSE(Zadání!$D$44,H!L10,H!L17,H!L24,H!L31,L38,L45,L52)</f>
        <v>74.400000000000006</v>
      </c>
      <c r="M61" s="257">
        <f>+CHOOSE(Zadání!$D$44,H!M10,H!M17,H!M24,H!M31,M38,M45,M52)</f>
        <v>45.4</v>
      </c>
      <c r="N61" s="257">
        <f>+CHOOSE(Zadání!$D$44,H!N10,H!N17,H!N24,H!N31,N38,N45,N52)</f>
        <v>29</v>
      </c>
      <c r="P61" s="239"/>
      <c r="Q61" s="238">
        <v>90</v>
      </c>
      <c r="R61" s="257">
        <f>+CHOOSE(Zadání!$G$44,H!R10,H!R17,H!R24,H!R31,R38,R45,R52)</f>
        <v>34.200000000000003</v>
      </c>
      <c r="S61" s="257">
        <f>+CHOOSE(Zadání!$G$44,H!S10,H!S17,H!S24,H!S31,S38,S45,S52)</f>
        <v>51.1</v>
      </c>
      <c r="T61" s="257">
        <f>+CHOOSE(Zadání!$G$44,H!T10,H!T17,H!T24,H!T31,T38,T45,T52)</f>
        <v>74.400000000000006</v>
      </c>
      <c r="U61" s="257">
        <f>+CHOOSE(Zadání!$G$44,H!U10,H!U17,H!U24,H!U31,U38,U45,U52)</f>
        <v>85.7</v>
      </c>
      <c r="V61" s="257">
        <f>+CHOOSE(Zadání!$G$44,H!V10,H!V17,H!V24,H!V31,V38,V45,V52)</f>
        <v>87</v>
      </c>
      <c r="W61" s="257">
        <f>+CHOOSE(Zadání!$G$44,H!W10,H!W17,H!W24,H!W31,W38,W45,W52)</f>
        <v>75.599999999999994</v>
      </c>
      <c r="X61" s="257">
        <f>+CHOOSE(Zadání!$G$44,H!X10,H!X17,H!X24,H!X31,X38,X45,X52)</f>
        <v>78.099999999999994</v>
      </c>
      <c r="Y61" s="257">
        <f>+CHOOSE(Zadání!$G$44,H!Y10,H!Y17,H!Y24,H!Y31,Y38,Y45,Y52)</f>
        <v>96</v>
      </c>
      <c r="Z61" s="257">
        <f>+CHOOSE(Zadání!$G$44,H!Z10,H!Z17,H!Z24,H!Z31,Z38,Z45,Z52)</f>
        <v>77.8</v>
      </c>
      <c r="AA61" s="257">
        <f>+CHOOSE(Zadání!$G$44,H!AA10,H!AA17,H!AA24,H!AA31,AA38,AA45,AA52)</f>
        <v>74.400000000000006</v>
      </c>
      <c r="AB61" s="257">
        <f>+CHOOSE(Zadání!$G$44,H!AB10,H!AB17,H!AB24,H!AB31,AB38,AB45,AB52)</f>
        <v>45.4</v>
      </c>
      <c r="AC61" s="257">
        <f>+CHOOSE(Zadání!$G$44,H!AC10,H!AC17,H!AC24,H!AC31,AC38,AC45,AC52)</f>
        <v>29</v>
      </c>
    </row>
    <row r="62" spans="1:29" x14ac:dyDescent="0.25">
      <c r="A62" s="239"/>
      <c r="B62" s="239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P62" s="239"/>
      <c r="Q62" s="239"/>
      <c r="R62" s="239"/>
      <c r="S62" s="239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</row>
    <row r="63" spans="1:29" x14ac:dyDescent="0.25">
      <c r="A63" s="239"/>
      <c r="B63" s="239" t="s">
        <v>151</v>
      </c>
      <c r="C63" s="239"/>
      <c r="D63" s="241">
        <f>CHOOSE(Zadání!D43,0,15,30,45,60,75,90)</f>
        <v>45</v>
      </c>
      <c r="E63" s="239"/>
      <c r="F63" s="239"/>
      <c r="G63" s="239"/>
      <c r="H63" s="239"/>
      <c r="I63" s="239"/>
      <c r="J63" s="239"/>
      <c r="K63" s="239"/>
      <c r="L63" s="239"/>
      <c r="M63" s="239"/>
      <c r="N63" s="239"/>
      <c r="P63" s="239"/>
      <c r="Q63" s="239" t="s">
        <v>151</v>
      </c>
      <c r="R63" s="239"/>
      <c r="S63" s="241">
        <f>CHOOSE(Zadání!G43,0,15,30,45,60,75,90)</f>
        <v>45</v>
      </c>
      <c r="T63" s="239"/>
      <c r="U63" s="239"/>
      <c r="V63" s="239"/>
      <c r="W63" s="239"/>
      <c r="X63" s="239"/>
      <c r="Y63" s="239"/>
      <c r="Z63" s="239"/>
      <c r="AA63" s="239"/>
      <c r="AB63" s="239"/>
      <c r="AC63" s="239"/>
    </row>
    <row r="64" spans="1:29" x14ac:dyDescent="0.25">
      <c r="A64" s="239"/>
      <c r="B64" s="239"/>
      <c r="C64" s="240" t="s">
        <v>150</v>
      </c>
      <c r="D64" s="240" t="s">
        <v>149</v>
      </c>
      <c r="E64" s="240" t="s">
        <v>148</v>
      </c>
      <c r="F64" s="240" t="s">
        <v>147</v>
      </c>
      <c r="G64" s="240" t="s">
        <v>146</v>
      </c>
      <c r="H64" s="240" t="s">
        <v>145</v>
      </c>
      <c r="I64" s="240" t="s">
        <v>144</v>
      </c>
      <c r="J64" s="240" t="s">
        <v>143</v>
      </c>
      <c r="K64" s="240" t="s">
        <v>142</v>
      </c>
      <c r="L64" s="240" t="s">
        <v>141</v>
      </c>
      <c r="M64" s="240" t="s">
        <v>140</v>
      </c>
      <c r="N64" s="240" t="s">
        <v>139</v>
      </c>
      <c r="P64" s="239"/>
      <c r="Q64" s="239"/>
      <c r="R64" s="240" t="s">
        <v>150</v>
      </c>
      <c r="S64" s="240" t="s">
        <v>149</v>
      </c>
      <c r="T64" s="240" t="s">
        <v>148</v>
      </c>
      <c r="U64" s="240" t="s">
        <v>147</v>
      </c>
      <c r="V64" s="240" t="s">
        <v>146</v>
      </c>
      <c r="W64" s="240" t="s">
        <v>145</v>
      </c>
      <c r="X64" s="240" t="s">
        <v>144</v>
      </c>
      <c r="Y64" s="240" t="s">
        <v>143</v>
      </c>
      <c r="Z64" s="240" t="s">
        <v>142</v>
      </c>
      <c r="AA64" s="240" t="s">
        <v>141</v>
      </c>
      <c r="AB64" s="240" t="s">
        <v>140</v>
      </c>
      <c r="AC64" s="240" t="s">
        <v>139</v>
      </c>
    </row>
    <row r="65" spans="1:29" x14ac:dyDescent="0.25">
      <c r="A65" s="239"/>
      <c r="B65" s="238">
        <f>D63</f>
        <v>45</v>
      </c>
      <c r="C65" s="258">
        <f>VLOOKUP($D$63,$B$55:$N$61,2,FALSE)</f>
        <v>35.700000000000003</v>
      </c>
      <c r="D65" s="258">
        <f>VLOOKUP($D$63,$B$55:$N$61,3,FALSE)</f>
        <v>57.1</v>
      </c>
      <c r="E65" s="258">
        <f>VLOOKUP($D$63,$B$55:$N$61,4,FALSE)</f>
        <v>93</v>
      </c>
      <c r="F65" s="258">
        <f>VLOOKUP($D$63,$B$55:$N$61,5,FALSE)</f>
        <v>127.4</v>
      </c>
      <c r="G65" s="258">
        <f>VLOOKUP($D$63,$B$55:$N$61,6,FALSE)</f>
        <v>147.30000000000001</v>
      </c>
      <c r="H65" s="258">
        <f>VLOOKUP($D$63,$B$55:$N$61,7,FALSE)</f>
        <v>136.1</v>
      </c>
      <c r="I65" s="258">
        <f>VLOOKUP($D$63,$B$55:$N$61,8,FALSE)</f>
        <v>136.9</v>
      </c>
      <c r="J65" s="258">
        <f>VLOOKUP($D$63,$B$55:$N$61,9,FALSE)</f>
        <v>148.1</v>
      </c>
      <c r="K65" s="258">
        <f>VLOOKUP($D$63,$B$55:$N$61,10,FALSE)</f>
        <v>105.1</v>
      </c>
      <c r="L65" s="258">
        <f>VLOOKUP($D$63,$B$55:$N$61,11,FALSE)</f>
        <v>85.6</v>
      </c>
      <c r="M65" s="258">
        <f>VLOOKUP($D$63,$B$55:$N$61,12,FALSE)</f>
        <v>46.1</v>
      </c>
      <c r="N65" s="258">
        <f>VLOOKUP($D$63,$B$55:$N$61,13,FALSE)</f>
        <v>29</v>
      </c>
      <c r="P65" s="239"/>
      <c r="Q65" s="238">
        <f>S63</f>
        <v>45</v>
      </c>
      <c r="R65" s="258">
        <f>VLOOKUP($S$63,$Q$55:$AC$61,2,FALSE)</f>
        <v>35.700000000000003</v>
      </c>
      <c r="S65" s="258">
        <f>VLOOKUP($S$63,$Q$55:$AC$61,3,FALSE)</f>
        <v>57.1</v>
      </c>
      <c r="T65" s="258">
        <f>VLOOKUP($S$63,$Q$55:$AC$61,4,FALSE)</f>
        <v>93</v>
      </c>
      <c r="U65" s="258">
        <f>VLOOKUP($S$63,$Q$55:$AC$61,5,FALSE)</f>
        <v>127.4</v>
      </c>
      <c r="V65" s="258">
        <f>VLOOKUP($S$63,$Q$55:$AC$61,6,FALSE)</f>
        <v>147.30000000000001</v>
      </c>
      <c r="W65" s="258">
        <f>VLOOKUP($S$63,$Q$55:$AC$61,7,FALSE)</f>
        <v>136.1</v>
      </c>
      <c r="X65" s="258">
        <f>VLOOKUP($S$63,$Q$55:$AC$61,8,FALSE)</f>
        <v>136.9</v>
      </c>
      <c r="Y65" s="258">
        <f>VLOOKUP($S$63,$Q$55:$AC$61,9,FALSE)</f>
        <v>148.1</v>
      </c>
      <c r="Z65" s="258">
        <f>VLOOKUP($S$63,$Q$55:$AC$61,10,FALSE)</f>
        <v>105.1</v>
      </c>
      <c r="AA65" s="258">
        <f>VLOOKUP($S$63,$Q$55:$AC$61,11,FALSE)</f>
        <v>85.6</v>
      </c>
      <c r="AB65" s="258">
        <f>VLOOKUP($S$63,$Q$55:$AC$61,12,FALSE)</f>
        <v>46.1</v>
      </c>
      <c r="AC65" s="258">
        <f>VLOOKUP($S$63,$Q$55:$AC$61,13,FALSE)</f>
        <v>29</v>
      </c>
    </row>
  </sheetData>
  <sheetProtection algorithmName="SHA-512" hashValue="oWAGWT24yjyDXrdxMajueTnvTnAU7SV1xP3aCbWiK4aSbH1iUU/6C31MqKM1vmiQabofIN+A3vEVAr7aMSJ5pQ==" saltValue="QFhuCvDB+2S7ARTnWgJUow==" spinCount="100000" sheet="1" objects="1" scenarios="1"/>
  <mergeCells count="16">
    <mergeCell ref="C1:N1"/>
    <mergeCell ref="R1:AC1"/>
    <mergeCell ref="B3:N3"/>
    <mergeCell ref="Q3:AC3"/>
    <mergeCell ref="B11:N11"/>
    <mergeCell ref="Q11:AC11"/>
    <mergeCell ref="B39:N39"/>
    <mergeCell ref="Q39:AC39"/>
    <mergeCell ref="B46:N46"/>
    <mergeCell ref="Q46:AC46"/>
    <mergeCell ref="B18:N18"/>
    <mergeCell ref="Q18:AC18"/>
    <mergeCell ref="B25:N25"/>
    <mergeCell ref="Q25:AC25"/>
    <mergeCell ref="B32:N32"/>
    <mergeCell ref="Q32:AC32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/>
  <dimension ref="A1:I68"/>
  <sheetViews>
    <sheetView zoomScaleNormal="100" workbookViewId="0">
      <selection activeCell="A48" sqref="A48"/>
    </sheetView>
  </sheetViews>
  <sheetFormatPr defaultRowHeight="12.75" x14ac:dyDescent="0.2"/>
  <cols>
    <col min="1" max="1" width="75.85546875" customWidth="1"/>
    <col min="5" max="5" width="9.5703125" bestFit="1" customWidth="1"/>
    <col min="8" max="8" width="12.28515625" customWidth="1"/>
    <col min="9" max="9" width="11.140625" customWidth="1"/>
    <col min="12" max="13" width="9.140625" customWidth="1"/>
  </cols>
  <sheetData>
    <row r="1" spans="1:9" ht="13.5" thickBot="1" x14ac:dyDescent="0.25">
      <c r="A1" s="5" t="s">
        <v>17</v>
      </c>
      <c r="B1" s="7" t="s">
        <v>4</v>
      </c>
      <c r="D1" s="8">
        <v>1</v>
      </c>
      <c r="E1" s="9">
        <v>3</v>
      </c>
      <c r="I1" s="80"/>
    </row>
    <row r="2" spans="1:9" ht="18.75" x14ac:dyDescent="0.35">
      <c r="A2" s="4" t="s">
        <v>25</v>
      </c>
      <c r="B2" s="2">
        <v>0.2</v>
      </c>
      <c r="D2" s="10">
        <v>0</v>
      </c>
      <c r="E2" s="11">
        <v>0</v>
      </c>
      <c r="G2" s="74" t="s">
        <v>2</v>
      </c>
      <c r="H2" s="77" t="s">
        <v>80</v>
      </c>
      <c r="I2" s="88" t="s">
        <v>76</v>
      </c>
    </row>
    <row r="3" spans="1:9" ht="15" x14ac:dyDescent="0.2">
      <c r="A3" s="4" t="s">
        <v>18</v>
      </c>
      <c r="B3" s="2">
        <v>0.1</v>
      </c>
      <c r="D3" s="10">
        <v>15</v>
      </c>
      <c r="E3" s="11">
        <v>15</v>
      </c>
      <c r="G3" s="87"/>
      <c r="H3" s="86" t="s">
        <v>73</v>
      </c>
      <c r="I3" s="89" t="s">
        <v>74</v>
      </c>
    </row>
    <row r="4" spans="1:9" ht="14.25" x14ac:dyDescent="0.2">
      <c r="A4" s="4" t="s">
        <v>19</v>
      </c>
      <c r="B4" s="2">
        <v>0.05</v>
      </c>
      <c r="D4" s="10">
        <v>30</v>
      </c>
      <c r="E4" s="11">
        <v>30</v>
      </c>
      <c r="G4" s="75">
        <v>1</v>
      </c>
      <c r="H4" s="76" t="e">
        <f>+'Výpočtová část'!T6/'Výpočtová část'!V6</f>
        <v>#DIV/0!</v>
      </c>
      <c r="I4" s="90" t="e">
        <f>+H4*'Výpočtová část'!W6</f>
        <v>#DIV/0!</v>
      </c>
    </row>
    <row r="5" spans="1:9" ht="14.25" x14ac:dyDescent="0.2">
      <c r="A5" s="4" t="s">
        <v>20</v>
      </c>
      <c r="B5" s="2">
        <v>0.03</v>
      </c>
      <c r="D5" s="10">
        <v>45</v>
      </c>
      <c r="E5" s="11">
        <v>45</v>
      </c>
      <c r="G5" s="75">
        <v>2</v>
      </c>
      <c r="H5" s="76" t="e">
        <f>+'Výpočtová část'!T7/'Výpočtová část'!V7</f>
        <v>#DIV/0!</v>
      </c>
      <c r="I5" s="90" t="e">
        <f>+H5*'Výpočtová část'!W7</f>
        <v>#DIV/0!</v>
      </c>
    </row>
    <row r="6" spans="1:9" ht="14.25" x14ac:dyDescent="0.2">
      <c r="A6" s="4" t="s">
        <v>21</v>
      </c>
      <c r="B6" s="2">
        <v>0.3</v>
      </c>
      <c r="D6" s="10">
        <v>60</v>
      </c>
      <c r="E6" s="11">
        <v>60</v>
      </c>
      <c r="G6" s="75">
        <v>3</v>
      </c>
      <c r="H6" s="76" t="e">
        <f>+'Výpočtová část'!T8/'Výpočtová část'!V8</f>
        <v>#DIV/0!</v>
      </c>
      <c r="I6" s="90" t="e">
        <f>+H6*'Výpočtová část'!W8</f>
        <v>#DIV/0!</v>
      </c>
    </row>
    <row r="7" spans="1:9" ht="14.25" x14ac:dyDescent="0.2">
      <c r="A7" s="4" t="s">
        <v>22</v>
      </c>
      <c r="B7" s="2">
        <v>0.2</v>
      </c>
      <c r="D7" s="10">
        <v>75</v>
      </c>
      <c r="E7" s="11">
        <v>75</v>
      </c>
      <c r="G7" s="75">
        <v>4</v>
      </c>
      <c r="H7" s="76" t="e">
        <f>+'Výpočtová část'!T9/'Výpočtová část'!V9</f>
        <v>#DIV/0!</v>
      </c>
      <c r="I7" s="90" t="e">
        <f>+H7*'Výpočtová část'!W9</f>
        <v>#DIV/0!</v>
      </c>
    </row>
    <row r="8" spans="1:9" ht="14.25" x14ac:dyDescent="0.2">
      <c r="A8" s="4" t="s">
        <v>23</v>
      </c>
      <c r="B8" s="2">
        <v>0.1</v>
      </c>
      <c r="D8" s="10">
        <v>90</v>
      </c>
      <c r="E8" s="11">
        <v>90</v>
      </c>
      <c r="G8" s="75">
        <v>5</v>
      </c>
      <c r="H8" s="76" t="e">
        <f>+'Výpočtová část'!T10/'Výpočtová část'!V10</f>
        <v>#DIV/0!</v>
      </c>
      <c r="I8" s="90" t="e">
        <f>+H8*'Výpočtová část'!W10</f>
        <v>#DIV/0!</v>
      </c>
    </row>
    <row r="9" spans="1:9" ht="15" thickBot="1" x14ac:dyDescent="0.25">
      <c r="A9" s="6" t="s">
        <v>24</v>
      </c>
      <c r="B9" s="3">
        <v>0.06</v>
      </c>
      <c r="D9" s="12" t="s">
        <v>15</v>
      </c>
      <c r="E9" s="13" t="s">
        <v>16</v>
      </c>
      <c r="G9" s="75">
        <v>6</v>
      </c>
      <c r="H9" s="76" t="e">
        <f>+'Výpočtová část'!T11/'Výpočtová část'!V11</f>
        <v>#DIV/0!</v>
      </c>
      <c r="I9" s="90" t="e">
        <f>+H9*'Výpočtová část'!W11</f>
        <v>#DIV/0!</v>
      </c>
    </row>
    <row r="10" spans="1:9" ht="14.25" x14ac:dyDescent="0.2">
      <c r="G10" s="75">
        <v>7</v>
      </c>
      <c r="H10" s="76" t="e">
        <f>+'Výpočtová část'!T12/'Výpočtová část'!V12</f>
        <v>#DIV/0!</v>
      </c>
      <c r="I10" s="90" t="e">
        <f>+H10*'Výpočtová část'!W12</f>
        <v>#DIV/0!</v>
      </c>
    </row>
    <row r="11" spans="1:9" ht="15" thickBot="1" x14ac:dyDescent="0.25">
      <c r="G11" s="75">
        <v>8</v>
      </c>
      <c r="H11" s="76" t="e">
        <f>+'Výpočtová část'!T13/'Výpočtová část'!V13</f>
        <v>#DIV/0!</v>
      </c>
      <c r="I11" s="90" t="e">
        <f>+H11*'Výpočtová část'!W13</f>
        <v>#DIV/0!</v>
      </c>
    </row>
    <row r="12" spans="1:9" ht="14.25" x14ac:dyDescent="0.2">
      <c r="A12" s="5" t="s">
        <v>26</v>
      </c>
      <c r="B12" s="1"/>
      <c r="G12" s="75">
        <v>9</v>
      </c>
      <c r="H12" s="76" t="e">
        <f>+'Výpočtová část'!T14/'Výpočtová část'!V14</f>
        <v>#DIV/0!</v>
      </c>
      <c r="I12" s="90" t="e">
        <f>+H12*'Výpočtová část'!W14</f>
        <v>#DIV/0!</v>
      </c>
    </row>
    <row r="13" spans="1:9" ht="14.25" x14ac:dyDescent="0.2">
      <c r="A13" t="s">
        <v>88</v>
      </c>
      <c r="G13" s="75">
        <v>10</v>
      </c>
      <c r="H13" s="76" t="e">
        <f>+'Výpočtová část'!T15/'Výpočtová část'!V15</f>
        <v>#DIV/0!</v>
      </c>
      <c r="I13" s="90" t="e">
        <f>+H13*'Výpočtová část'!W15</f>
        <v>#DIV/0!</v>
      </c>
    </row>
    <row r="14" spans="1:9" ht="14.25" x14ac:dyDescent="0.2">
      <c r="A14" s="4" t="s">
        <v>102</v>
      </c>
      <c r="B14" s="2">
        <v>0.15</v>
      </c>
      <c r="G14" s="75">
        <v>11</v>
      </c>
      <c r="H14" s="76" t="e">
        <f>+'Výpočtová část'!T16/'Výpočtová část'!V16</f>
        <v>#DIV/0!</v>
      </c>
      <c r="I14" s="90" t="e">
        <f>+H14*'Výpočtová část'!W16</f>
        <v>#DIV/0!</v>
      </c>
    </row>
    <row r="15" spans="1:9" ht="14.25" x14ac:dyDescent="0.2">
      <c r="A15" s="4" t="s">
        <v>27</v>
      </c>
      <c r="B15" s="2">
        <v>0.3</v>
      </c>
      <c r="G15" s="75">
        <v>12</v>
      </c>
      <c r="H15" s="76" t="e">
        <f>+'Výpočtová část'!T17/'Výpočtová část'!V17</f>
        <v>#DIV/0!</v>
      </c>
      <c r="I15" s="90" t="e">
        <f>+H15*'Výpočtová část'!W17</f>
        <v>#DIV/0!</v>
      </c>
    </row>
    <row r="16" spans="1:9" ht="13.5" thickBot="1" x14ac:dyDescent="0.25">
      <c r="A16" s="6" t="s">
        <v>28</v>
      </c>
      <c r="B16" s="3">
        <v>1</v>
      </c>
      <c r="G16" s="6" t="s">
        <v>75</v>
      </c>
      <c r="H16" s="50"/>
      <c r="I16" s="91" t="e">
        <f>SUM(I4:I15)</f>
        <v>#DIV/0!</v>
      </c>
    </row>
    <row r="19" spans="1:2" ht="13.5" thickBot="1" x14ac:dyDescent="0.25"/>
    <row r="20" spans="1:2" x14ac:dyDescent="0.2">
      <c r="A20" s="5" t="s">
        <v>30</v>
      </c>
      <c r="B20" s="1" t="s">
        <v>11</v>
      </c>
    </row>
    <row r="21" spans="1:2" x14ac:dyDescent="0.2">
      <c r="A21" s="130" t="s">
        <v>88</v>
      </c>
      <c r="B21" s="129"/>
    </row>
    <row r="22" spans="1:2" x14ac:dyDescent="0.2">
      <c r="A22" s="4" t="s">
        <v>31</v>
      </c>
      <c r="B22" s="2">
        <v>0.75</v>
      </c>
    </row>
    <row r="23" spans="1:2" x14ac:dyDescent="0.2">
      <c r="A23" s="4" t="s">
        <v>32</v>
      </c>
      <c r="B23" s="2">
        <v>0.6</v>
      </c>
    </row>
    <row r="24" spans="1:2" ht="13.5" thickBot="1" x14ac:dyDescent="0.25">
      <c r="A24" s="6" t="s">
        <v>33</v>
      </c>
      <c r="B24" s="3">
        <v>0.5</v>
      </c>
    </row>
    <row r="25" spans="1:2" x14ac:dyDescent="0.2">
      <c r="A25" s="131"/>
    </row>
    <row r="26" spans="1:2" ht="13.5" thickBot="1" x14ac:dyDescent="0.25"/>
    <row r="27" spans="1:2" x14ac:dyDescent="0.2">
      <c r="A27" s="5" t="s">
        <v>37</v>
      </c>
      <c r="B27" s="1" t="s">
        <v>38</v>
      </c>
    </row>
    <row r="28" spans="1:2" x14ac:dyDescent="0.2">
      <c r="A28" s="128" t="s">
        <v>88</v>
      </c>
      <c r="B28" s="129"/>
    </row>
    <row r="29" spans="1:2" x14ac:dyDescent="0.2">
      <c r="A29" s="4" t="str">
        <f>IF(Zadání!D11=1,"Předehřev teplé vody, pokrytí &lt; 35 %","")</f>
        <v>Předehřev teplé vody, pokrytí &lt; 35 %</v>
      </c>
      <c r="B29" s="2">
        <v>35</v>
      </c>
    </row>
    <row r="30" spans="1:2" x14ac:dyDescent="0.2">
      <c r="A30" s="4" t="str">
        <f>IF(Zadání!D11=1,"Příprava teplé vody, 35 % &lt; pokrytí &lt; 70 %","")</f>
        <v>Příprava teplé vody, 35 % &lt; pokrytí &lt; 70 %</v>
      </c>
      <c r="B30" s="2">
        <v>40</v>
      </c>
    </row>
    <row r="31" spans="1:2" x14ac:dyDescent="0.2">
      <c r="A31" s="4" t="str">
        <f>IF(Zadání!D11=1,"Příprava teplé vody, pokrytí &gt; 70 %","")</f>
        <v>Příprava teplé vody, pokrytí &gt; 70 %</v>
      </c>
      <c r="B31" s="2">
        <v>50</v>
      </c>
    </row>
    <row r="32" spans="1:2" x14ac:dyDescent="0.2">
      <c r="A32" s="4" t="str">
        <f>IF(Zadání!D11=2,"Příprava teplé vody a vytápění, pokrytí &lt; 25 %","")</f>
        <v/>
      </c>
      <c r="B32" s="2">
        <v>50</v>
      </c>
    </row>
    <row r="33" spans="1:2" ht="13.5" thickBot="1" x14ac:dyDescent="0.25">
      <c r="A33" s="6" t="str">
        <f>IF(Zadání!D11=2,"Příprava teplé vody a vytápění, pokrytí &gt; 25 %","")</f>
        <v/>
      </c>
      <c r="B33" s="3">
        <v>60</v>
      </c>
    </row>
    <row r="36" spans="1:2" ht="13.5" thickBot="1" x14ac:dyDescent="0.25"/>
    <row r="37" spans="1:2" x14ac:dyDescent="0.2">
      <c r="A37" s="51" t="s">
        <v>40</v>
      </c>
    </row>
    <row r="38" spans="1:2" x14ac:dyDescent="0.2">
      <c r="A38" s="52" t="s">
        <v>41</v>
      </c>
    </row>
    <row r="39" spans="1:2" ht="13.5" thickBot="1" x14ac:dyDescent="0.25">
      <c r="A39" s="53" t="s">
        <v>42</v>
      </c>
    </row>
    <row r="40" spans="1:2" ht="13.5" thickBot="1" x14ac:dyDescent="0.25"/>
    <row r="41" spans="1:2" x14ac:dyDescent="0.2">
      <c r="A41" s="51" t="s">
        <v>46</v>
      </c>
    </row>
    <row r="42" spans="1:2" x14ac:dyDescent="0.2">
      <c r="A42" s="52" t="s">
        <v>47</v>
      </c>
    </row>
    <row r="43" spans="1:2" x14ac:dyDescent="0.2">
      <c r="A43" s="52" t="s">
        <v>48</v>
      </c>
    </row>
    <row r="44" spans="1:2" x14ac:dyDescent="0.2">
      <c r="A44" s="52" t="s">
        <v>49</v>
      </c>
    </row>
    <row r="45" spans="1:2" ht="13.5" thickBot="1" x14ac:dyDescent="0.25">
      <c r="A45" s="53" t="s">
        <v>50</v>
      </c>
    </row>
    <row r="47" spans="1:2" ht="13.5" thickBot="1" x14ac:dyDescent="0.25">
      <c r="A47" t="s">
        <v>78</v>
      </c>
    </row>
    <row r="48" spans="1:2" x14ac:dyDescent="0.2">
      <c r="A48" s="94">
        <v>1</v>
      </c>
    </row>
    <row r="49" spans="1:1" x14ac:dyDescent="0.2">
      <c r="A49" s="81" t="s">
        <v>45</v>
      </c>
    </row>
    <row r="50" spans="1:1" ht="13.5" thickBot="1" x14ac:dyDescent="0.25">
      <c r="A50" s="82" t="s">
        <v>77</v>
      </c>
    </row>
    <row r="52" spans="1:1" x14ac:dyDescent="0.2">
      <c r="A52" t="s">
        <v>86</v>
      </c>
    </row>
    <row r="53" spans="1:1" x14ac:dyDescent="0.2">
      <c r="A53" t="s">
        <v>121</v>
      </c>
    </row>
    <row r="54" spans="1:1" x14ac:dyDescent="0.2">
      <c r="A54" t="str">
        <f>IF(Zadání!C9=1,"SOL+:  Solární systém pro přípravu teplé vody a přitápění","")</f>
        <v>SOL+:  Solární systém pro přípravu teplé vody a přitápění</v>
      </c>
    </row>
    <row r="58" spans="1:1" x14ac:dyDescent="0.2">
      <c r="A58" t="s">
        <v>118</v>
      </c>
    </row>
    <row r="59" spans="1:1" x14ac:dyDescent="0.2">
      <c r="A59" s="49" t="s">
        <v>119</v>
      </c>
    </row>
    <row r="60" spans="1:1" x14ac:dyDescent="0.2">
      <c r="A60" s="49" t="s">
        <v>120</v>
      </c>
    </row>
    <row r="63" spans="1:1" x14ac:dyDescent="0.2">
      <c r="A63" s="210" t="s">
        <v>124</v>
      </c>
    </row>
    <row r="64" spans="1:1" x14ac:dyDescent="0.2">
      <c r="A64" t="s">
        <v>125</v>
      </c>
    </row>
    <row r="65" spans="1:1" ht="15" x14ac:dyDescent="0.2">
      <c r="A65" s="208" t="s">
        <v>126</v>
      </c>
    </row>
    <row r="66" spans="1:1" ht="15" x14ac:dyDescent="0.2">
      <c r="A66" s="208" t="s">
        <v>127</v>
      </c>
    </row>
    <row r="67" spans="1:1" ht="15" x14ac:dyDescent="0.2">
      <c r="A67" s="208" t="s">
        <v>128</v>
      </c>
    </row>
    <row r="68" spans="1:1" ht="15" x14ac:dyDescent="0.2">
      <c r="A68" s="208" t="s">
        <v>129</v>
      </c>
    </row>
  </sheetData>
  <sheetProtection algorithmName="SHA-512" hashValue="nbWwLC/I7TcpXcvsXImU1aFPXoyvCep++0URIiPVGMV+CgWvhd/ITh4V71ZwvyjEsiwgFwLpgcHLkFCBCXN1sQ==" saltValue="6LZCBRy8qauT1gzfACVNEA==" spinCount="100000" sheet="1" selectLockedCells="1"/>
  <dataConsolidate>
    <dataRefs count="1">
      <dataRef ref="E26" sheet="data"/>
    </dataRefs>
  </dataConsolidate>
  <phoneticPr fontId="1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F5ABB0D5496844A1C3A2C7B8C3A203" ma:contentTypeVersion="4" ma:contentTypeDescription="Vytvoří nový dokument" ma:contentTypeScope="" ma:versionID="ebc6d77a159e713c8c24d50b62495ffd">
  <xsd:schema xmlns:xsd="http://www.w3.org/2001/XMLSchema" xmlns:xs="http://www.w3.org/2001/XMLSchema" xmlns:p="http://schemas.microsoft.com/office/2006/metadata/properties" xmlns:ns2="849fbe02-79f3-4d72-a40f-f972f36b07bf" targetNamespace="http://schemas.microsoft.com/office/2006/metadata/properties" ma:root="true" ma:fieldsID="915f1ce06c32563f2854a6cd36645ac2" ns2:_="">
    <xsd:import namespace="849fbe02-79f3-4d72-a40f-f972f36b07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9fbe02-79f3-4d72-a40f-f972f36b0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9DD72F-0487-4686-89ED-ECCF814DCA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1DFE81-EF1F-4BEE-901E-16A36402DDAE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849fbe02-79f3-4d72-a40f-f972f36b07b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68594FB-5009-4DB2-90E0-FE4C627417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9fbe02-79f3-4d72-a40f-f972f36b07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33</vt:i4>
      </vt:variant>
    </vt:vector>
  </HeadingPairs>
  <TitlesOfParts>
    <vt:vector size="38" baseType="lpstr">
      <vt:lpstr>Zadání</vt:lpstr>
      <vt:lpstr>Výpočtová část</vt:lpstr>
      <vt:lpstr>G</vt:lpstr>
      <vt:lpstr>H</vt:lpstr>
      <vt:lpstr>data</vt:lpstr>
      <vt:lpstr>_p</vt:lpstr>
      <vt:lpstr>_v</vt:lpstr>
      <vt:lpstr>a_1</vt:lpstr>
      <vt:lpstr>a_1_2</vt:lpstr>
      <vt:lpstr>a_2</vt:lpstr>
      <vt:lpstr>a_2_2</vt:lpstr>
      <vt:lpstr>celk_vtazna_pl_2</vt:lpstr>
      <vt:lpstr>Celková_vztažná_plocha</vt:lpstr>
      <vt:lpstr>eps</vt:lpstr>
      <vt:lpstr>ný_0</vt:lpstr>
      <vt:lpstr>ný_02</vt:lpstr>
      <vt:lpstr>Objem_AKU</vt:lpstr>
      <vt:lpstr>Zadání!Oblast_tisku</vt:lpstr>
      <vt:lpstr>osoby</vt:lpstr>
      <vt:lpstr>Plocha_apertury</vt:lpstr>
      <vt:lpstr>Plocha_apertury_2</vt:lpstr>
      <vt:lpstr>počet_kolektorů</vt:lpstr>
      <vt:lpstr>počet_kolektorů_2</vt:lpstr>
      <vt:lpstr>Q_p.c</vt:lpstr>
      <vt:lpstr>Q_p.TV</vt:lpstr>
      <vt:lpstr>Q_p.vyt</vt:lpstr>
      <vt:lpstr>Q_z</vt:lpstr>
      <vt:lpstr>T_e</vt:lpstr>
      <vt:lpstr>T_i</vt:lpstr>
      <vt:lpstr>t_km</vt:lpstr>
      <vt:lpstr>t_km_2</vt:lpstr>
      <vt:lpstr>t_sv</vt:lpstr>
      <vt:lpstr>t_tv</vt:lpstr>
      <vt:lpstr>t_w1.N</vt:lpstr>
      <vt:lpstr>Vtv_den</vt:lpstr>
      <vt:lpstr>vztažná_plocha_kol_2</vt:lpstr>
      <vt:lpstr>Vztažná_plocha_kolektoru</vt:lpstr>
      <vt:lpstr>z</vt:lpstr>
    </vt:vector>
  </TitlesOfParts>
  <Company>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TM;SFZP</dc:creator>
  <cp:lastModifiedBy>Šůchová Marie</cp:lastModifiedBy>
  <cp:lastPrinted>2025-01-22T08:57:24Z</cp:lastPrinted>
  <dcterms:created xsi:type="dcterms:W3CDTF">2003-03-23T18:41:33Z</dcterms:created>
  <dcterms:modified xsi:type="dcterms:W3CDTF">2025-02-07T10:45:20Z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0x010100A9F5ABB0D5496844A1C3A2C7B8C3A203</vt:lpwstr>
  </property>
</Properties>
</file>